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usa.vaz\Desktop\FACILITIES ENG\"/>
    </mc:Choice>
  </mc:AlternateContent>
  <xr:revisionPtr revIDLastSave="0" documentId="13_ncr:1_{4AE288DF-76C8-495D-BDEB-CA14BCE10085}" xr6:coauthVersionLast="47" xr6:coauthVersionMax="47" xr10:uidLastSave="{00000000-0000-0000-0000-000000000000}"/>
  <bookViews>
    <workbookView xWindow="-120" yWindow="-120" windowWidth="16440" windowHeight="28440" tabRatio="841" xr2:uid="{00000000-000D-0000-FFFF-FFFF00000000}"/>
  </bookViews>
  <sheets>
    <sheet name="RESUMO CUSTOS _PREÇO" sheetId="20" r:id="rId1"/>
    <sheet name="Planilha IN05_MO residente" sheetId="17" r:id="rId2"/>
    <sheet name="MC" sheetId="21" r:id="rId3"/>
    <sheet name="materiais da preventiva" sheetId="2" r:id="rId4"/>
    <sheet name="RESUMO CUSTOS CORRETIVO" sheetId="10" r:id="rId5"/>
    <sheet name="MO SOB DEMANDA" sheetId="22" r:id="rId6"/>
    <sheet name="Materiais de reposição" sheetId="7" r:id="rId7"/>
    <sheet name="Equipamentos" sheetId="23" r:id="rId8"/>
    <sheet name="Serviços eventuais" sheetId="12" r:id="rId9"/>
    <sheet name="CPU_" sheetId="15" r:id="rId10"/>
    <sheet name="BDI" sheetId="16" r:id="rId11"/>
  </sheets>
  <definedNames>
    <definedName name="_xlnm.Print_Area" localSheetId="10">BDI!$A$1:$O$55</definedName>
    <definedName name="_xlnm.Print_Area" localSheetId="9">CPU_!$A$1:$F$536</definedName>
    <definedName name="_xlnm.Print_Area" localSheetId="7">Equipamentos!$A$1:$H$15</definedName>
    <definedName name="_xlnm.Print_Area" localSheetId="3">'materiais da preventiva'!$A$1:$I$180</definedName>
    <definedName name="_xlnm.Print_Area" localSheetId="6">'Materiais de reposição'!$A$1:$H$158</definedName>
    <definedName name="_xlnm.Print_Area" localSheetId="2">MC!$A$1:$Y$89</definedName>
    <definedName name="_xlnm.Print_Area" localSheetId="5">'MO SOB DEMANDA'!$A$1:$K$125</definedName>
    <definedName name="_xlnm.Print_Area" localSheetId="4">'RESUMO CUSTOS CORRETIVO'!$A$2:$O$303</definedName>
    <definedName name="_xlnm.Print_Area" localSheetId="8">'Serviços eventuais'!$A$1:$G$126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17" l="1"/>
  <c r="F49" i="22"/>
  <c r="F53" i="22" s="1"/>
  <c r="F50" i="22"/>
  <c r="K19" i="17"/>
  <c r="H117" i="17"/>
  <c r="R50" i="17"/>
  <c r="Q50" i="17"/>
  <c r="J50" i="17"/>
  <c r="C45" i="21"/>
  <c r="M13" i="17"/>
  <c r="N13" i="17"/>
  <c r="O13" i="17"/>
  <c r="P13" i="17"/>
  <c r="L13" i="17"/>
  <c r="F13" i="17"/>
  <c r="G13" i="17" s="1"/>
  <c r="H19" i="17"/>
  <c r="G19" i="17"/>
  <c r="F19" i="17"/>
  <c r="G118" i="12"/>
  <c r="F435" i="15"/>
  <c r="F195" i="15"/>
  <c r="F177" i="15"/>
  <c r="G155" i="7"/>
  <c r="F81" i="7"/>
  <c r="F77" i="7"/>
  <c r="I62" i="2"/>
  <c r="C37" i="21"/>
  <c r="G13" i="23"/>
  <c r="G11" i="23"/>
  <c r="E140" i="2"/>
  <c r="E141" i="2"/>
  <c r="F5" i="23"/>
  <c r="E170" i="10" s="1"/>
  <c r="F6" i="23"/>
  <c r="E171" i="10" s="1"/>
  <c r="F4" i="23"/>
  <c r="G4" i="23" s="1"/>
  <c r="F169" i="10" s="1"/>
  <c r="J98" i="7"/>
  <c r="F98" i="7" s="1"/>
  <c r="G98" i="7" s="1"/>
  <c r="F106" i="10" s="1"/>
  <c r="F95" i="7"/>
  <c r="E103" i="10" s="1"/>
  <c r="F94" i="7"/>
  <c r="G94" i="7" s="1"/>
  <c r="F102" i="10" s="1"/>
  <c r="F93" i="7"/>
  <c r="G93" i="7" s="1"/>
  <c r="F101" i="10" s="1"/>
  <c r="F87" i="7"/>
  <c r="G87" i="7" s="1"/>
  <c r="F95" i="10" s="1"/>
  <c r="F85" i="7"/>
  <c r="F82" i="7"/>
  <c r="E90" i="10" s="1"/>
  <c r="D177" i="10"/>
  <c r="A173" i="10"/>
  <c r="B173" i="10"/>
  <c r="C173" i="10"/>
  <c r="D173" i="10"/>
  <c r="A174" i="10"/>
  <c r="B174" i="10"/>
  <c r="C174" i="10"/>
  <c r="D174" i="10"/>
  <c r="A170" i="10"/>
  <c r="B170" i="10"/>
  <c r="C170" i="10"/>
  <c r="D170" i="10"/>
  <c r="A171" i="10"/>
  <c r="B171" i="10"/>
  <c r="C171" i="10"/>
  <c r="D171" i="10"/>
  <c r="A172" i="10"/>
  <c r="B172" i="10"/>
  <c r="C172" i="10"/>
  <c r="D172" i="10"/>
  <c r="C169" i="10"/>
  <c r="D169" i="10"/>
  <c r="B169" i="10"/>
  <c r="A169" i="10"/>
  <c r="A157" i="10"/>
  <c r="B157" i="10"/>
  <c r="C157" i="10"/>
  <c r="D157" i="10"/>
  <c r="E157" i="10"/>
  <c r="A158" i="10"/>
  <c r="B158" i="10"/>
  <c r="C158" i="10"/>
  <c r="D158" i="10"/>
  <c r="E158" i="10"/>
  <c r="A159" i="10"/>
  <c r="B159" i="10"/>
  <c r="C159" i="10"/>
  <c r="D159" i="10"/>
  <c r="E159" i="10"/>
  <c r="A160" i="10"/>
  <c r="B160" i="10"/>
  <c r="C160" i="10"/>
  <c r="D160" i="10"/>
  <c r="E160" i="10"/>
  <c r="A161" i="10"/>
  <c r="B161" i="10"/>
  <c r="C161" i="10"/>
  <c r="D161" i="10"/>
  <c r="E161" i="10"/>
  <c r="A143" i="10"/>
  <c r="B143" i="10"/>
  <c r="C143" i="10"/>
  <c r="D143" i="10"/>
  <c r="E143" i="10"/>
  <c r="A144" i="10"/>
  <c r="B144" i="10"/>
  <c r="C144" i="10"/>
  <c r="D144" i="10"/>
  <c r="E144" i="10"/>
  <c r="A145" i="10"/>
  <c r="B145" i="10"/>
  <c r="C145" i="10"/>
  <c r="D145" i="10"/>
  <c r="E145" i="10"/>
  <c r="A146" i="10"/>
  <c r="B146" i="10"/>
  <c r="C146" i="10"/>
  <c r="D146" i="10"/>
  <c r="E146" i="10"/>
  <c r="A147" i="10"/>
  <c r="B147" i="10"/>
  <c r="C147" i="10"/>
  <c r="D147" i="10"/>
  <c r="E147" i="10"/>
  <c r="A148" i="10"/>
  <c r="B148" i="10"/>
  <c r="C148" i="10"/>
  <c r="D148" i="10"/>
  <c r="E148" i="10"/>
  <c r="A149" i="10"/>
  <c r="B149" i="10"/>
  <c r="C149" i="10"/>
  <c r="D149" i="10"/>
  <c r="E149" i="10"/>
  <c r="A150" i="10"/>
  <c r="B150" i="10"/>
  <c r="C150" i="10"/>
  <c r="D150" i="10"/>
  <c r="E150" i="10"/>
  <c r="A151" i="10"/>
  <c r="B151" i="10"/>
  <c r="C151" i="10"/>
  <c r="D151" i="10"/>
  <c r="E151" i="10"/>
  <c r="A152" i="10"/>
  <c r="B152" i="10"/>
  <c r="C152" i="10"/>
  <c r="D152" i="10"/>
  <c r="E152" i="10"/>
  <c r="A153" i="10"/>
  <c r="B153" i="10"/>
  <c r="C153" i="10"/>
  <c r="D153" i="10"/>
  <c r="E153" i="10"/>
  <c r="A154" i="10"/>
  <c r="B154" i="10"/>
  <c r="C154" i="10"/>
  <c r="D154" i="10"/>
  <c r="E154" i="10"/>
  <c r="A155" i="10"/>
  <c r="B155" i="10"/>
  <c r="C155" i="10"/>
  <c r="D155" i="10"/>
  <c r="E155" i="10"/>
  <c r="A156" i="10"/>
  <c r="B156" i="10"/>
  <c r="C156" i="10"/>
  <c r="D156" i="10"/>
  <c r="E156" i="10"/>
  <c r="A127" i="10"/>
  <c r="B127" i="10"/>
  <c r="C127" i="10"/>
  <c r="D127" i="10"/>
  <c r="E127" i="10"/>
  <c r="A128" i="10"/>
  <c r="B128" i="10"/>
  <c r="C128" i="10"/>
  <c r="D128" i="10"/>
  <c r="E128" i="10"/>
  <c r="A129" i="10"/>
  <c r="B129" i="10"/>
  <c r="C129" i="10"/>
  <c r="D129" i="10"/>
  <c r="E129" i="10"/>
  <c r="A130" i="10"/>
  <c r="B130" i="10"/>
  <c r="C130" i="10"/>
  <c r="D130" i="10"/>
  <c r="E130" i="10"/>
  <c r="A131" i="10"/>
  <c r="B131" i="10"/>
  <c r="C131" i="10"/>
  <c r="D131" i="10"/>
  <c r="E131" i="10"/>
  <c r="A132" i="10"/>
  <c r="B132" i="10"/>
  <c r="C132" i="10"/>
  <c r="D132" i="10"/>
  <c r="E132" i="10"/>
  <c r="A133" i="10"/>
  <c r="B133" i="10"/>
  <c r="C133" i="10"/>
  <c r="D133" i="10"/>
  <c r="E133" i="10"/>
  <c r="A134" i="10"/>
  <c r="B134" i="10"/>
  <c r="C134" i="10"/>
  <c r="D134" i="10"/>
  <c r="E134" i="10"/>
  <c r="A135" i="10"/>
  <c r="B135" i="10"/>
  <c r="C135" i="10"/>
  <c r="D135" i="10"/>
  <c r="E135" i="10"/>
  <c r="A136" i="10"/>
  <c r="B136" i="10"/>
  <c r="C136" i="10"/>
  <c r="D136" i="10"/>
  <c r="E136" i="10"/>
  <c r="A137" i="10"/>
  <c r="B137" i="10"/>
  <c r="C137" i="10"/>
  <c r="D137" i="10"/>
  <c r="E137" i="10"/>
  <c r="A138" i="10"/>
  <c r="B138" i="10"/>
  <c r="C138" i="10"/>
  <c r="D138" i="10"/>
  <c r="E138" i="10"/>
  <c r="A139" i="10"/>
  <c r="B139" i="10"/>
  <c r="C139" i="10"/>
  <c r="D139" i="10"/>
  <c r="E139" i="10"/>
  <c r="A140" i="10"/>
  <c r="B140" i="10"/>
  <c r="C140" i="10"/>
  <c r="D140" i="10"/>
  <c r="E140" i="10"/>
  <c r="A141" i="10"/>
  <c r="B141" i="10"/>
  <c r="C141" i="10"/>
  <c r="D141" i="10"/>
  <c r="E141" i="10"/>
  <c r="A142" i="10"/>
  <c r="B142" i="10"/>
  <c r="C142" i="10"/>
  <c r="D142" i="10"/>
  <c r="E142" i="10"/>
  <c r="A109" i="10"/>
  <c r="B109" i="10"/>
  <c r="C109" i="10"/>
  <c r="D109" i="10"/>
  <c r="A110" i="10"/>
  <c r="B110" i="10"/>
  <c r="C110" i="10"/>
  <c r="D110" i="10"/>
  <c r="A111" i="10"/>
  <c r="B111" i="10"/>
  <c r="C111" i="10"/>
  <c r="D111" i="10"/>
  <c r="A112" i="10"/>
  <c r="B112" i="10"/>
  <c r="C112" i="10"/>
  <c r="D112" i="10"/>
  <c r="A113" i="10"/>
  <c r="B113" i="10"/>
  <c r="C113" i="10"/>
  <c r="D113" i="10"/>
  <c r="A114" i="10"/>
  <c r="B114" i="10"/>
  <c r="C114" i="10"/>
  <c r="D114" i="10"/>
  <c r="A115" i="10"/>
  <c r="B115" i="10"/>
  <c r="C115" i="10"/>
  <c r="D115" i="10"/>
  <c r="A116" i="10"/>
  <c r="B116" i="10"/>
  <c r="C116" i="10"/>
  <c r="D116" i="10"/>
  <c r="E116" i="10"/>
  <c r="A117" i="10"/>
  <c r="B117" i="10"/>
  <c r="C117" i="10"/>
  <c r="D117" i="10"/>
  <c r="E117" i="10"/>
  <c r="A118" i="10"/>
  <c r="B118" i="10"/>
  <c r="C118" i="10"/>
  <c r="D118" i="10"/>
  <c r="E118" i="10"/>
  <c r="A119" i="10"/>
  <c r="B119" i="10"/>
  <c r="C119" i="10"/>
  <c r="D119" i="10"/>
  <c r="E119" i="10"/>
  <c r="A120" i="10"/>
  <c r="B120" i="10"/>
  <c r="C120" i="10"/>
  <c r="D120" i="10"/>
  <c r="E120" i="10"/>
  <c r="A121" i="10"/>
  <c r="B121" i="10"/>
  <c r="C121" i="10"/>
  <c r="D121" i="10"/>
  <c r="E121" i="10"/>
  <c r="A122" i="10"/>
  <c r="B122" i="10"/>
  <c r="C122" i="10"/>
  <c r="D122" i="10"/>
  <c r="E122" i="10"/>
  <c r="A123" i="10"/>
  <c r="B123" i="10"/>
  <c r="C123" i="10"/>
  <c r="D123" i="10"/>
  <c r="E123" i="10"/>
  <c r="A124" i="10"/>
  <c r="B124" i="10"/>
  <c r="C124" i="10"/>
  <c r="D124" i="10"/>
  <c r="E124" i="10"/>
  <c r="A125" i="10"/>
  <c r="B125" i="10"/>
  <c r="C125" i="10"/>
  <c r="D125" i="10"/>
  <c r="E125" i="10"/>
  <c r="A126" i="10"/>
  <c r="B126" i="10"/>
  <c r="C126" i="10"/>
  <c r="D126" i="10"/>
  <c r="E126" i="10"/>
  <c r="A104" i="10"/>
  <c r="B104" i="10"/>
  <c r="C104" i="10"/>
  <c r="D104" i="10"/>
  <c r="A105" i="10"/>
  <c r="B105" i="10"/>
  <c r="C105" i="10"/>
  <c r="D105" i="10"/>
  <c r="E105" i="10"/>
  <c r="A106" i="10"/>
  <c r="B106" i="10"/>
  <c r="C106" i="10"/>
  <c r="D106" i="10"/>
  <c r="A107" i="10"/>
  <c r="B107" i="10"/>
  <c r="C107" i="10"/>
  <c r="D107" i="10"/>
  <c r="A108" i="10"/>
  <c r="B108" i="10"/>
  <c r="C108" i="10"/>
  <c r="D108" i="10"/>
  <c r="G5" i="7"/>
  <c r="G6" i="7"/>
  <c r="F14" i="10" s="1"/>
  <c r="G7" i="7"/>
  <c r="F15" i="10" s="1"/>
  <c r="G8" i="7"/>
  <c r="F16" i="10" s="1"/>
  <c r="G9" i="7"/>
  <c r="F17" i="10" s="1"/>
  <c r="G10" i="7"/>
  <c r="F18" i="10" s="1"/>
  <c r="G11" i="7"/>
  <c r="F19" i="10" s="1"/>
  <c r="G12" i="7"/>
  <c r="F20" i="10" s="1"/>
  <c r="G13" i="7"/>
  <c r="F21" i="10" s="1"/>
  <c r="G14" i="7"/>
  <c r="F22" i="10" s="1"/>
  <c r="G15" i="7"/>
  <c r="F23" i="10" s="1"/>
  <c r="G16" i="7"/>
  <c r="G19" i="7"/>
  <c r="F27" i="10" s="1"/>
  <c r="G21" i="7"/>
  <c r="F29" i="10" s="1"/>
  <c r="G22" i="7"/>
  <c r="F30" i="10" s="1"/>
  <c r="G23" i="7"/>
  <c r="F31" i="10" s="1"/>
  <c r="G25" i="7"/>
  <c r="F33" i="10" s="1"/>
  <c r="G26" i="7"/>
  <c r="G27" i="7"/>
  <c r="F35" i="10" s="1"/>
  <c r="G34" i="7"/>
  <c r="G36" i="7"/>
  <c r="F44" i="10" s="1"/>
  <c r="G37" i="7"/>
  <c r="G38" i="7"/>
  <c r="F46" i="10" s="1"/>
  <c r="G39" i="7"/>
  <c r="F47" i="10" s="1"/>
  <c r="G40" i="7"/>
  <c r="F48" i="10" s="1"/>
  <c r="G42" i="7"/>
  <c r="G43" i="7"/>
  <c r="F51" i="10" s="1"/>
  <c r="G44" i="7"/>
  <c r="F52" i="10" s="1"/>
  <c r="G45" i="7"/>
  <c r="F53" i="10" s="1"/>
  <c r="G46" i="7"/>
  <c r="F54" i="10" s="1"/>
  <c r="G47" i="7"/>
  <c r="F55" i="10" s="1"/>
  <c r="G48" i="7"/>
  <c r="G49" i="7"/>
  <c r="F57" i="10" s="1"/>
  <c r="G50" i="7"/>
  <c r="G51" i="7"/>
  <c r="F59" i="10" s="1"/>
  <c r="G52" i="7"/>
  <c r="F60" i="10" s="1"/>
  <c r="G53" i="7"/>
  <c r="G54" i="7"/>
  <c r="F62" i="10" s="1"/>
  <c r="G55" i="7"/>
  <c r="F63" i="10" s="1"/>
  <c r="G56" i="7"/>
  <c r="G57" i="7"/>
  <c r="F65" i="10" s="1"/>
  <c r="G58" i="7"/>
  <c r="G59" i="7"/>
  <c r="F67" i="10" s="1"/>
  <c r="G60" i="7"/>
  <c r="F68" i="10" s="1"/>
  <c r="G61" i="7"/>
  <c r="F69" i="10" s="1"/>
  <c r="G62" i="7"/>
  <c r="G63" i="7"/>
  <c r="F71" i="10" s="1"/>
  <c r="G64" i="7"/>
  <c r="F72" i="10" s="1"/>
  <c r="G65" i="7"/>
  <c r="F73" i="10" s="1"/>
  <c r="G66" i="7"/>
  <c r="F74" i="10" s="1"/>
  <c r="G67" i="7"/>
  <c r="F75" i="10" s="1"/>
  <c r="G68" i="7"/>
  <c r="F76" i="10" s="1"/>
  <c r="G69" i="7"/>
  <c r="F77" i="10" s="1"/>
  <c r="G70" i="7"/>
  <c r="F78" i="10" s="1"/>
  <c r="G71" i="7"/>
  <c r="F79" i="10" s="1"/>
  <c r="G72" i="7"/>
  <c r="G73" i="7"/>
  <c r="F81" i="10" s="1"/>
  <c r="G74" i="7"/>
  <c r="F82" i="10" s="1"/>
  <c r="G75" i="7"/>
  <c r="F83" i="10" s="1"/>
  <c r="G76" i="7"/>
  <c r="F84" i="10" s="1"/>
  <c r="G78" i="7"/>
  <c r="F86" i="10" s="1"/>
  <c r="G83" i="7"/>
  <c r="G84" i="7"/>
  <c r="F92" i="10" s="1"/>
  <c r="G85" i="7"/>
  <c r="F93" i="10" s="1"/>
  <c r="G86" i="7"/>
  <c r="F94" i="10" s="1"/>
  <c r="G88" i="7"/>
  <c r="F96" i="10" s="1"/>
  <c r="G89" i="7"/>
  <c r="F97" i="10" s="1"/>
  <c r="G90" i="7"/>
  <c r="F98" i="10" s="1"/>
  <c r="G91" i="7"/>
  <c r="F99" i="10" s="1"/>
  <c r="G92" i="7"/>
  <c r="F100" i="10" s="1"/>
  <c r="G95" i="7"/>
  <c r="F103" i="10" s="1"/>
  <c r="G97" i="7"/>
  <c r="F105" i="10" s="1"/>
  <c r="G108" i="7"/>
  <c r="F116" i="10" s="1"/>
  <c r="G109" i="7"/>
  <c r="F117" i="10" s="1"/>
  <c r="G110" i="7"/>
  <c r="F118" i="10" s="1"/>
  <c r="G111" i="7"/>
  <c r="F119" i="10" s="1"/>
  <c r="G112" i="7"/>
  <c r="F120" i="10" s="1"/>
  <c r="G113" i="7"/>
  <c r="F121" i="10" s="1"/>
  <c r="G114" i="7"/>
  <c r="F122" i="10" s="1"/>
  <c r="G115" i="7"/>
  <c r="F123" i="10" s="1"/>
  <c r="G116" i="7"/>
  <c r="F124" i="10" s="1"/>
  <c r="G117" i="7"/>
  <c r="F125" i="10" s="1"/>
  <c r="G118" i="7"/>
  <c r="F126" i="10" s="1"/>
  <c r="G119" i="7"/>
  <c r="F127" i="10" s="1"/>
  <c r="G120" i="7"/>
  <c r="F128" i="10" s="1"/>
  <c r="G121" i="7"/>
  <c r="F129" i="10" s="1"/>
  <c r="G122" i="7"/>
  <c r="F130" i="10" s="1"/>
  <c r="G123" i="7"/>
  <c r="F131" i="10" s="1"/>
  <c r="G124" i="7"/>
  <c r="F132" i="10" s="1"/>
  <c r="G125" i="7"/>
  <c r="F133" i="10" s="1"/>
  <c r="G126" i="7"/>
  <c r="F134" i="10" s="1"/>
  <c r="G127" i="7"/>
  <c r="F135" i="10" s="1"/>
  <c r="G128" i="7"/>
  <c r="F136" i="10" s="1"/>
  <c r="G129" i="7"/>
  <c r="F137" i="10" s="1"/>
  <c r="G130" i="7"/>
  <c r="F138" i="10" s="1"/>
  <c r="G131" i="7"/>
  <c r="F139" i="10" s="1"/>
  <c r="G132" i="7"/>
  <c r="F140" i="10" s="1"/>
  <c r="G133" i="7"/>
  <c r="F141" i="10" s="1"/>
  <c r="G134" i="7"/>
  <c r="F142" i="10" s="1"/>
  <c r="G135" i="7"/>
  <c r="F143" i="10" s="1"/>
  <c r="G136" i="7"/>
  <c r="F144" i="10" s="1"/>
  <c r="G137" i="7"/>
  <c r="F145" i="10" s="1"/>
  <c r="G138" i="7"/>
  <c r="F146" i="10" s="1"/>
  <c r="G139" i="7"/>
  <c r="F147" i="10" s="1"/>
  <c r="G140" i="7"/>
  <c r="F148" i="10" s="1"/>
  <c r="G141" i="7"/>
  <c r="F149" i="10" s="1"/>
  <c r="G142" i="7"/>
  <c r="F150" i="10" s="1"/>
  <c r="G143" i="7"/>
  <c r="F151" i="10" s="1"/>
  <c r="G144" i="7"/>
  <c r="F152" i="10" s="1"/>
  <c r="G145" i="7"/>
  <c r="F153" i="10" s="1"/>
  <c r="G146" i="7"/>
  <c r="F154" i="10" s="1"/>
  <c r="G147" i="7"/>
  <c r="F155" i="10" s="1"/>
  <c r="G148" i="7"/>
  <c r="F156" i="10" s="1"/>
  <c r="G149" i="7"/>
  <c r="F157" i="10" s="1"/>
  <c r="G150" i="7"/>
  <c r="F158" i="10" s="1"/>
  <c r="G151" i="7"/>
  <c r="F159" i="10" s="1"/>
  <c r="G152" i="7"/>
  <c r="F160" i="10" s="1"/>
  <c r="G153" i="7"/>
  <c r="F161" i="10" s="1"/>
  <c r="G4" i="7"/>
  <c r="A13" i="10"/>
  <c r="B13" i="10"/>
  <c r="C13" i="10"/>
  <c r="D13" i="10"/>
  <c r="E13" i="10"/>
  <c r="F13" i="10"/>
  <c r="A14" i="10"/>
  <c r="B14" i="10"/>
  <c r="C14" i="10"/>
  <c r="D14" i="10"/>
  <c r="E14" i="10"/>
  <c r="A15" i="10"/>
  <c r="B15" i="10"/>
  <c r="C15" i="10"/>
  <c r="D15" i="10"/>
  <c r="E15" i="10"/>
  <c r="A16" i="10"/>
  <c r="B16" i="10"/>
  <c r="C16" i="10"/>
  <c r="D16" i="10"/>
  <c r="E16" i="10"/>
  <c r="A17" i="10"/>
  <c r="B17" i="10"/>
  <c r="C17" i="10"/>
  <c r="D17" i="10"/>
  <c r="E17" i="10"/>
  <c r="A18" i="10"/>
  <c r="B18" i="10"/>
  <c r="C18" i="10"/>
  <c r="D18" i="10"/>
  <c r="E18" i="10"/>
  <c r="A19" i="10"/>
  <c r="B19" i="10"/>
  <c r="C19" i="10"/>
  <c r="D19" i="10"/>
  <c r="E19" i="10"/>
  <c r="A20" i="10"/>
  <c r="B20" i="10"/>
  <c r="C20" i="10"/>
  <c r="D20" i="10"/>
  <c r="E20" i="10"/>
  <c r="A21" i="10"/>
  <c r="B21" i="10"/>
  <c r="C21" i="10"/>
  <c r="D21" i="10"/>
  <c r="E21" i="10"/>
  <c r="A22" i="10"/>
  <c r="B22" i="10"/>
  <c r="C22" i="10"/>
  <c r="D22" i="10"/>
  <c r="E22" i="10"/>
  <c r="A23" i="10"/>
  <c r="B23" i="10"/>
  <c r="C23" i="10"/>
  <c r="D23" i="10"/>
  <c r="E23" i="10"/>
  <c r="A24" i="10"/>
  <c r="B24" i="10"/>
  <c r="C24" i="10"/>
  <c r="D24" i="10"/>
  <c r="E24" i="10"/>
  <c r="F24" i="10"/>
  <c r="A25" i="10"/>
  <c r="B25" i="10"/>
  <c r="C25" i="10"/>
  <c r="D25" i="10"/>
  <c r="A26" i="10"/>
  <c r="B26" i="10"/>
  <c r="C26" i="10"/>
  <c r="D26" i="10"/>
  <c r="A27" i="10"/>
  <c r="B27" i="10"/>
  <c r="C27" i="10"/>
  <c r="D27" i="10"/>
  <c r="E27" i="10"/>
  <c r="A28" i="10"/>
  <c r="B28" i="10"/>
  <c r="C28" i="10"/>
  <c r="D28" i="10"/>
  <c r="A29" i="10"/>
  <c r="B29" i="10"/>
  <c r="C29" i="10"/>
  <c r="D29" i="10"/>
  <c r="E29" i="10"/>
  <c r="A30" i="10"/>
  <c r="B30" i="10"/>
  <c r="C30" i="10"/>
  <c r="D30" i="10"/>
  <c r="E30" i="10"/>
  <c r="A31" i="10"/>
  <c r="B31" i="10"/>
  <c r="C31" i="10"/>
  <c r="D31" i="10"/>
  <c r="E31" i="10"/>
  <c r="A32" i="10"/>
  <c r="B32" i="10"/>
  <c r="C32" i="10"/>
  <c r="D32" i="10"/>
  <c r="A33" i="10"/>
  <c r="B33" i="10"/>
  <c r="C33" i="10"/>
  <c r="D33" i="10"/>
  <c r="E33" i="10"/>
  <c r="A34" i="10"/>
  <c r="B34" i="10"/>
  <c r="C34" i="10"/>
  <c r="D34" i="10"/>
  <c r="E34" i="10"/>
  <c r="F34" i="10"/>
  <c r="A35" i="10"/>
  <c r="B35" i="10"/>
  <c r="C35" i="10"/>
  <c r="D35" i="10"/>
  <c r="E35" i="10"/>
  <c r="A36" i="10"/>
  <c r="B36" i="10"/>
  <c r="C36" i="10"/>
  <c r="D36" i="10"/>
  <c r="A37" i="10"/>
  <c r="B37" i="10"/>
  <c r="C37" i="10"/>
  <c r="D37" i="10"/>
  <c r="A38" i="10"/>
  <c r="B38" i="10"/>
  <c r="C38" i="10"/>
  <c r="D38" i="10"/>
  <c r="A39" i="10"/>
  <c r="B39" i="10"/>
  <c r="C39" i="10"/>
  <c r="D39" i="10"/>
  <c r="A40" i="10"/>
  <c r="B40" i="10"/>
  <c r="C40" i="10"/>
  <c r="D40" i="10"/>
  <c r="A41" i="10"/>
  <c r="B41" i="10"/>
  <c r="C41" i="10"/>
  <c r="D41" i="10"/>
  <c r="A42" i="10"/>
  <c r="B42" i="10"/>
  <c r="C42" i="10"/>
  <c r="D42" i="10"/>
  <c r="E42" i="10"/>
  <c r="F42" i="10"/>
  <c r="A43" i="10"/>
  <c r="B43" i="10"/>
  <c r="C43" i="10"/>
  <c r="D43" i="10"/>
  <c r="A44" i="10"/>
  <c r="B44" i="10"/>
  <c r="C44" i="10"/>
  <c r="D44" i="10"/>
  <c r="E44" i="10"/>
  <c r="A45" i="10"/>
  <c r="B45" i="10"/>
  <c r="C45" i="10"/>
  <c r="D45" i="10"/>
  <c r="E45" i="10"/>
  <c r="F45" i="10"/>
  <c r="A46" i="10"/>
  <c r="B46" i="10"/>
  <c r="C46" i="10"/>
  <c r="D46" i="10"/>
  <c r="E46" i="10"/>
  <c r="A47" i="10"/>
  <c r="B47" i="10"/>
  <c r="C47" i="10"/>
  <c r="D47" i="10"/>
  <c r="E47" i="10"/>
  <c r="A48" i="10"/>
  <c r="B48" i="10"/>
  <c r="C48" i="10"/>
  <c r="D48" i="10"/>
  <c r="E48" i="10"/>
  <c r="A49" i="10"/>
  <c r="B49" i="10"/>
  <c r="D49" i="10"/>
  <c r="E49" i="10"/>
  <c r="A50" i="10"/>
  <c r="B50" i="10"/>
  <c r="C50" i="10"/>
  <c r="D50" i="10"/>
  <c r="E50" i="10"/>
  <c r="F50" i="10"/>
  <c r="A51" i="10"/>
  <c r="B51" i="10"/>
  <c r="C51" i="10"/>
  <c r="D51" i="10"/>
  <c r="E51" i="10"/>
  <c r="A52" i="10"/>
  <c r="B52" i="10"/>
  <c r="C52" i="10"/>
  <c r="D52" i="10"/>
  <c r="E52" i="10"/>
  <c r="A53" i="10"/>
  <c r="B53" i="10"/>
  <c r="C53" i="10"/>
  <c r="D53" i="10"/>
  <c r="E53" i="10"/>
  <c r="A54" i="10"/>
  <c r="B54" i="10"/>
  <c r="C54" i="10"/>
  <c r="D54" i="10"/>
  <c r="E54" i="10"/>
  <c r="A55" i="10"/>
  <c r="B55" i="10"/>
  <c r="C55" i="10"/>
  <c r="D55" i="10"/>
  <c r="E55" i="10"/>
  <c r="A56" i="10"/>
  <c r="B56" i="10"/>
  <c r="C56" i="10"/>
  <c r="D56" i="10"/>
  <c r="E56" i="10"/>
  <c r="F56" i="10"/>
  <c r="A57" i="10"/>
  <c r="B57" i="10"/>
  <c r="C57" i="10"/>
  <c r="D57" i="10"/>
  <c r="E57" i="10"/>
  <c r="A58" i="10"/>
  <c r="B58" i="10"/>
  <c r="C58" i="10"/>
  <c r="D58" i="10"/>
  <c r="E58" i="10"/>
  <c r="F58" i="10"/>
  <c r="A59" i="10"/>
  <c r="B59" i="10"/>
  <c r="C59" i="10"/>
  <c r="D59" i="10"/>
  <c r="E59" i="10"/>
  <c r="A60" i="10"/>
  <c r="B60" i="10"/>
  <c r="C60" i="10"/>
  <c r="D60" i="10"/>
  <c r="E60" i="10"/>
  <c r="A61" i="10"/>
  <c r="B61" i="10"/>
  <c r="C61" i="10"/>
  <c r="D61" i="10"/>
  <c r="E61" i="10"/>
  <c r="F61" i="10"/>
  <c r="A62" i="10"/>
  <c r="B62" i="10"/>
  <c r="C62" i="10"/>
  <c r="D62" i="10"/>
  <c r="E62" i="10"/>
  <c r="A63" i="10"/>
  <c r="B63" i="10"/>
  <c r="C63" i="10"/>
  <c r="D63" i="10"/>
  <c r="E63" i="10"/>
  <c r="A64" i="10"/>
  <c r="B64" i="10"/>
  <c r="C64" i="10"/>
  <c r="D64" i="10"/>
  <c r="E64" i="10"/>
  <c r="F64" i="10"/>
  <c r="A65" i="10"/>
  <c r="B65" i="10"/>
  <c r="C65" i="10"/>
  <c r="D65" i="10"/>
  <c r="E65" i="10"/>
  <c r="A66" i="10"/>
  <c r="B66" i="10"/>
  <c r="C66" i="10"/>
  <c r="D66" i="10"/>
  <c r="E66" i="10"/>
  <c r="F66" i="10"/>
  <c r="A67" i="10"/>
  <c r="B67" i="10"/>
  <c r="C67" i="10"/>
  <c r="D67" i="10"/>
  <c r="E67" i="10"/>
  <c r="A68" i="10"/>
  <c r="B68" i="10"/>
  <c r="C68" i="10"/>
  <c r="D68" i="10"/>
  <c r="E68" i="10"/>
  <c r="A69" i="10"/>
  <c r="B69" i="10"/>
  <c r="C69" i="10"/>
  <c r="D69" i="10"/>
  <c r="E69" i="10"/>
  <c r="A70" i="10"/>
  <c r="B70" i="10"/>
  <c r="C70" i="10"/>
  <c r="D70" i="10"/>
  <c r="E70" i="10"/>
  <c r="F70" i="10"/>
  <c r="A71" i="10"/>
  <c r="B71" i="10"/>
  <c r="C71" i="10"/>
  <c r="D71" i="10"/>
  <c r="E71" i="10"/>
  <c r="A72" i="10"/>
  <c r="B72" i="10"/>
  <c r="C72" i="10"/>
  <c r="D72" i="10"/>
  <c r="E72" i="10"/>
  <c r="A73" i="10"/>
  <c r="B73" i="10"/>
  <c r="C73" i="10"/>
  <c r="D73" i="10"/>
  <c r="E73" i="10"/>
  <c r="A74" i="10"/>
  <c r="B74" i="10"/>
  <c r="C74" i="10"/>
  <c r="D74" i="10"/>
  <c r="E74" i="10"/>
  <c r="A75" i="10"/>
  <c r="B75" i="10"/>
  <c r="C75" i="10"/>
  <c r="D75" i="10"/>
  <c r="E75" i="10"/>
  <c r="A76" i="10"/>
  <c r="B76" i="10"/>
  <c r="C76" i="10"/>
  <c r="D76" i="10"/>
  <c r="E76" i="10"/>
  <c r="A77" i="10"/>
  <c r="B77" i="10"/>
  <c r="C77" i="10"/>
  <c r="D77" i="10"/>
  <c r="E77" i="10"/>
  <c r="A78" i="10"/>
  <c r="B78" i="10"/>
  <c r="C78" i="10"/>
  <c r="D78" i="10"/>
  <c r="E78" i="10"/>
  <c r="A79" i="10"/>
  <c r="B79" i="10"/>
  <c r="C79" i="10"/>
  <c r="D79" i="10"/>
  <c r="E79" i="10"/>
  <c r="A80" i="10"/>
  <c r="B80" i="10"/>
  <c r="C80" i="10"/>
  <c r="D80" i="10"/>
  <c r="E80" i="10"/>
  <c r="F80" i="10"/>
  <c r="A81" i="10"/>
  <c r="B81" i="10"/>
  <c r="C81" i="10"/>
  <c r="D81" i="10"/>
  <c r="E81" i="10"/>
  <c r="A82" i="10"/>
  <c r="B82" i="10"/>
  <c r="C82" i="10"/>
  <c r="D82" i="10"/>
  <c r="E82" i="10"/>
  <c r="A83" i="10"/>
  <c r="B83" i="10"/>
  <c r="C83" i="10"/>
  <c r="D83" i="10"/>
  <c r="E83" i="10"/>
  <c r="A84" i="10"/>
  <c r="B84" i="10"/>
  <c r="C84" i="10"/>
  <c r="D84" i="10"/>
  <c r="E84" i="10"/>
  <c r="A85" i="10"/>
  <c r="B85" i="10"/>
  <c r="C85" i="10"/>
  <c r="D85" i="10"/>
  <c r="A86" i="10"/>
  <c r="B86" i="10"/>
  <c r="C86" i="10"/>
  <c r="D86" i="10"/>
  <c r="E86" i="10"/>
  <c r="A87" i="10"/>
  <c r="B87" i="10"/>
  <c r="C87" i="10"/>
  <c r="D87" i="10"/>
  <c r="A88" i="10"/>
  <c r="B88" i="10"/>
  <c r="C88" i="10"/>
  <c r="D88" i="10"/>
  <c r="A89" i="10"/>
  <c r="B89" i="10"/>
  <c r="C89" i="10"/>
  <c r="D89" i="10"/>
  <c r="A90" i="10"/>
  <c r="B90" i="10"/>
  <c r="C90" i="10"/>
  <c r="D90" i="10"/>
  <c r="A91" i="10"/>
  <c r="B91" i="10"/>
  <c r="C91" i="10"/>
  <c r="D91" i="10"/>
  <c r="E91" i="10"/>
  <c r="F91" i="10"/>
  <c r="A92" i="10"/>
  <c r="B92" i="10"/>
  <c r="C92" i="10"/>
  <c r="D92" i="10"/>
  <c r="E92" i="10"/>
  <c r="A93" i="10"/>
  <c r="B93" i="10"/>
  <c r="C93" i="10"/>
  <c r="D93" i="10"/>
  <c r="E93" i="10"/>
  <c r="A94" i="10"/>
  <c r="B94" i="10"/>
  <c r="C94" i="10"/>
  <c r="D94" i="10"/>
  <c r="E94" i="10"/>
  <c r="A95" i="10"/>
  <c r="B95" i="10"/>
  <c r="C95" i="10"/>
  <c r="D95" i="10"/>
  <c r="A96" i="10"/>
  <c r="B96" i="10"/>
  <c r="C96" i="10"/>
  <c r="D96" i="10"/>
  <c r="E96" i="10"/>
  <c r="A97" i="10"/>
  <c r="B97" i="10"/>
  <c r="C97" i="10"/>
  <c r="D97" i="10"/>
  <c r="E97" i="10"/>
  <c r="A98" i="10"/>
  <c r="B98" i="10"/>
  <c r="C98" i="10"/>
  <c r="D98" i="10"/>
  <c r="E98" i="10"/>
  <c r="A99" i="10"/>
  <c r="B99" i="10"/>
  <c r="C99" i="10"/>
  <c r="D99" i="10"/>
  <c r="E99" i="10"/>
  <c r="A100" i="10"/>
  <c r="B100" i="10"/>
  <c r="C100" i="10"/>
  <c r="D100" i="10"/>
  <c r="E100" i="10"/>
  <c r="A101" i="10"/>
  <c r="B101" i="10"/>
  <c r="C101" i="10"/>
  <c r="D101" i="10"/>
  <c r="A102" i="10"/>
  <c r="B102" i="10"/>
  <c r="C102" i="10"/>
  <c r="D102" i="10"/>
  <c r="A103" i="10"/>
  <c r="B103" i="10"/>
  <c r="C103" i="10"/>
  <c r="D103" i="10"/>
  <c r="D164" i="10"/>
  <c r="D298" i="10"/>
  <c r="A294" i="10"/>
  <c r="D294" i="10"/>
  <c r="A295" i="10"/>
  <c r="A281" i="10"/>
  <c r="D281" i="10"/>
  <c r="A282" i="10"/>
  <c r="D282" i="10"/>
  <c r="A283" i="10"/>
  <c r="D283" i="10"/>
  <c r="A284" i="10"/>
  <c r="D284" i="10"/>
  <c r="A285" i="10"/>
  <c r="D285" i="10"/>
  <c r="A286" i="10"/>
  <c r="D286" i="10"/>
  <c r="A287" i="10"/>
  <c r="D287" i="10"/>
  <c r="A288" i="10"/>
  <c r="D288" i="10"/>
  <c r="A289" i="10"/>
  <c r="D289" i="10"/>
  <c r="A290" i="10"/>
  <c r="A291" i="10"/>
  <c r="D291" i="10"/>
  <c r="A292" i="10"/>
  <c r="A293" i="10"/>
  <c r="D293" i="10"/>
  <c r="A255" i="10"/>
  <c r="D255" i="10"/>
  <c r="A256" i="10"/>
  <c r="D256" i="10"/>
  <c r="A257" i="10"/>
  <c r="D257" i="10"/>
  <c r="A258" i="10"/>
  <c r="D258" i="10"/>
  <c r="A259" i="10"/>
  <c r="D259" i="10"/>
  <c r="A260" i="10"/>
  <c r="D260" i="10"/>
  <c r="A261" i="10"/>
  <c r="D261" i="10"/>
  <c r="A262" i="10"/>
  <c r="D262" i="10"/>
  <c r="A263" i="10"/>
  <c r="D263" i="10"/>
  <c r="A264" i="10"/>
  <c r="D264" i="10"/>
  <c r="A265" i="10"/>
  <c r="D265" i="10"/>
  <c r="A266" i="10"/>
  <c r="D266" i="10"/>
  <c r="A267" i="10"/>
  <c r="D267" i="10"/>
  <c r="A268" i="10"/>
  <c r="D268" i="10"/>
  <c r="A269" i="10"/>
  <c r="D269" i="10"/>
  <c r="A270" i="10"/>
  <c r="A271" i="10"/>
  <c r="D271" i="10"/>
  <c r="A272" i="10"/>
  <c r="D272" i="10"/>
  <c r="A273" i="10"/>
  <c r="A274" i="10"/>
  <c r="D274" i="10"/>
  <c r="A275" i="10"/>
  <c r="A276" i="10"/>
  <c r="D276" i="10"/>
  <c r="A277" i="10"/>
  <c r="D277" i="10"/>
  <c r="A278" i="10"/>
  <c r="A279" i="10"/>
  <c r="D279" i="10"/>
  <c r="A280" i="10"/>
  <c r="D280" i="10"/>
  <c r="A184" i="10"/>
  <c r="D184" i="10"/>
  <c r="A185" i="10"/>
  <c r="D185" i="10"/>
  <c r="A186" i="10"/>
  <c r="D186" i="10"/>
  <c r="A187" i="10"/>
  <c r="D187" i="10"/>
  <c r="A188" i="10"/>
  <c r="D188" i="10"/>
  <c r="A189" i="10"/>
  <c r="D189" i="10"/>
  <c r="A190" i="10"/>
  <c r="D190" i="10"/>
  <c r="A191" i="10"/>
  <c r="D191" i="10"/>
  <c r="A192" i="10"/>
  <c r="D192" i="10"/>
  <c r="A193" i="10"/>
  <c r="D193" i="10"/>
  <c r="A194" i="10"/>
  <c r="A195" i="10"/>
  <c r="D195" i="10"/>
  <c r="A196" i="10"/>
  <c r="D196" i="10"/>
  <c r="A197" i="10"/>
  <c r="D197" i="10"/>
  <c r="A198" i="10"/>
  <c r="D198" i="10"/>
  <c r="A199" i="10"/>
  <c r="D199" i="10"/>
  <c r="A200" i="10"/>
  <c r="D200" i="10"/>
  <c r="A201" i="10"/>
  <c r="D201" i="10"/>
  <c r="A202" i="10"/>
  <c r="D202" i="10"/>
  <c r="A203" i="10"/>
  <c r="D203" i="10"/>
  <c r="A204" i="10"/>
  <c r="D204" i="10"/>
  <c r="A205" i="10"/>
  <c r="D205" i="10"/>
  <c r="A206" i="10"/>
  <c r="D206" i="10"/>
  <c r="A207" i="10"/>
  <c r="D207" i="10"/>
  <c r="A208" i="10"/>
  <c r="D208" i="10"/>
  <c r="A209" i="10"/>
  <c r="D209" i="10"/>
  <c r="A210" i="10"/>
  <c r="D210" i="10"/>
  <c r="A211" i="10"/>
  <c r="D211" i="10"/>
  <c r="A212" i="10"/>
  <c r="D212" i="10"/>
  <c r="A213" i="10"/>
  <c r="D213" i="10"/>
  <c r="A214" i="10"/>
  <c r="D214" i="10"/>
  <c r="A215" i="10"/>
  <c r="A216" i="10"/>
  <c r="D216" i="10"/>
  <c r="A217" i="10"/>
  <c r="D217" i="10"/>
  <c r="A218" i="10"/>
  <c r="D218" i="10"/>
  <c r="A219" i="10"/>
  <c r="D219" i="10"/>
  <c r="A220" i="10"/>
  <c r="D220" i="10"/>
  <c r="E220" i="10"/>
  <c r="A221" i="10"/>
  <c r="A222" i="10"/>
  <c r="D222" i="10"/>
  <c r="A223" i="10"/>
  <c r="D223" i="10"/>
  <c r="A224" i="10"/>
  <c r="D224" i="10"/>
  <c r="A225" i="10"/>
  <c r="D225" i="10"/>
  <c r="A226" i="10"/>
  <c r="D226" i="10"/>
  <c r="A227" i="10"/>
  <c r="A228" i="10"/>
  <c r="A229" i="10"/>
  <c r="D229" i="10"/>
  <c r="A230" i="10"/>
  <c r="D230" i="10"/>
  <c r="A231" i="10"/>
  <c r="D231" i="10"/>
  <c r="A232" i="10"/>
  <c r="D232" i="10"/>
  <c r="A233" i="10"/>
  <c r="D233" i="10"/>
  <c r="A234" i="10"/>
  <c r="D234" i="10"/>
  <c r="A235" i="10"/>
  <c r="A236" i="10"/>
  <c r="D236" i="10"/>
  <c r="A237" i="10"/>
  <c r="D237" i="10"/>
  <c r="A238" i="10"/>
  <c r="D238" i="10"/>
  <c r="A239" i="10"/>
  <c r="D239" i="10"/>
  <c r="A240" i="10"/>
  <c r="D240" i="10"/>
  <c r="A241" i="10"/>
  <c r="D241" i="10"/>
  <c r="A242" i="10"/>
  <c r="D242" i="10"/>
  <c r="A243" i="10"/>
  <c r="D243" i="10"/>
  <c r="A244" i="10"/>
  <c r="D244" i="10"/>
  <c r="A245" i="10"/>
  <c r="D245" i="10"/>
  <c r="A246" i="10"/>
  <c r="D246" i="10"/>
  <c r="A247" i="10"/>
  <c r="D247" i="10"/>
  <c r="A248" i="10"/>
  <c r="D248" i="10"/>
  <c r="A249" i="10"/>
  <c r="D249" i="10"/>
  <c r="A250" i="10"/>
  <c r="D250" i="10"/>
  <c r="A251" i="10"/>
  <c r="D251" i="10"/>
  <c r="A252" i="10"/>
  <c r="D252" i="10"/>
  <c r="A253" i="10"/>
  <c r="D253" i="10"/>
  <c r="A254" i="10"/>
  <c r="D254" i="10"/>
  <c r="D183" i="10"/>
  <c r="A183" i="10"/>
  <c r="F467" i="15"/>
  <c r="F468" i="15"/>
  <c r="F469" i="15"/>
  <c r="F470" i="15"/>
  <c r="F471" i="15"/>
  <c r="F472" i="15"/>
  <c r="F473" i="15"/>
  <c r="F474" i="15"/>
  <c r="F475" i="15"/>
  <c r="F476" i="15"/>
  <c r="F466" i="15"/>
  <c r="F322" i="15"/>
  <c r="F75" i="15"/>
  <c r="D19" i="12"/>
  <c r="C198" i="10" s="1"/>
  <c r="C19" i="12"/>
  <c r="B198" i="10" s="1"/>
  <c r="B19" i="12"/>
  <c r="B18" i="12"/>
  <c r="F83" i="15"/>
  <c r="F82" i="15"/>
  <c r="F81" i="15"/>
  <c r="G156" i="7"/>
  <c r="P27" i="16"/>
  <c r="C12" i="10"/>
  <c r="D12" i="10"/>
  <c r="E12" i="10"/>
  <c r="F7" i="23"/>
  <c r="G7" i="23" s="1"/>
  <c r="F172" i="10" s="1"/>
  <c r="F9" i="23"/>
  <c r="E174" i="10" s="1"/>
  <c r="G8" i="23"/>
  <c r="F173" i="10" s="1"/>
  <c r="F8" i="23"/>
  <c r="E173" i="10" s="1"/>
  <c r="F104" i="7"/>
  <c r="E112" i="10" s="1"/>
  <c r="F105" i="7"/>
  <c r="E113" i="10" s="1"/>
  <c r="F106" i="7"/>
  <c r="E114" i="10" s="1"/>
  <c r="F107" i="7"/>
  <c r="G107" i="7" s="1"/>
  <c r="F115" i="10" s="1"/>
  <c r="F100" i="7"/>
  <c r="G100" i="7" s="1"/>
  <c r="F108" i="10" s="1"/>
  <c r="F101" i="7"/>
  <c r="G101" i="7" s="1"/>
  <c r="F109" i="10" s="1"/>
  <c r="F102" i="7"/>
  <c r="E110" i="10" s="1"/>
  <c r="F103" i="7"/>
  <c r="G103" i="7" s="1"/>
  <c r="F111" i="10" s="1"/>
  <c r="F99" i="7"/>
  <c r="E107" i="10" s="1"/>
  <c r="E8" i="10"/>
  <c r="F20" i="20" s="1"/>
  <c r="G20" i="20" s="1"/>
  <c r="G18" i="20"/>
  <c r="E113" i="12"/>
  <c r="D292" i="10" s="1"/>
  <c r="C109" i="12"/>
  <c r="B288" i="10" s="1"/>
  <c r="D109" i="12"/>
  <c r="C288" i="10" s="1"/>
  <c r="B109" i="12"/>
  <c r="C108" i="12"/>
  <c r="B287" i="10" s="1"/>
  <c r="D108" i="12"/>
  <c r="C287" i="10" s="1"/>
  <c r="B108" i="12"/>
  <c r="F523" i="15"/>
  <c r="F522" i="15" s="1"/>
  <c r="F443" i="15"/>
  <c r="F64" i="12"/>
  <c r="C64" i="12"/>
  <c r="B243" i="10" s="1"/>
  <c r="D64" i="12"/>
  <c r="C243" i="10" s="1"/>
  <c r="B64" i="12"/>
  <c r="F526" i="15"/>
  <c r="F307" i="15"/>
  <c r="F315" i="15" s="1"/>
  <c r="J248" i="15"/>
  <c r="I248" i="15"/>
  <c r="H248" i="15"/>
  <c r="F42" i="12"/>
  <c r="E221" i="10" s="1"/>
  <c r="D41" i="12"/>
  <c r="C220" i="10" s="1"/>
  <c r="C41" i="12"/>
  <c r="B220" i="10" s="1"/>
  <c r="B41" i="12"/>
  <c r="F208" i="15"/>
  <c r="F41" i="12" s="1"/>
  <c r="G41" i="12" s="1"/>
  <c r="F220" i="10" s="1"/>
  <c r="F204" i="15"/>
  <c r="F299" i="15" s="1"/>
  <c r="F251" i="15"/>
  <c r="F250" i="15" s="1"/>
  <c r="F121" i="15"/>
  <c r="F161" i="15" s="1"/>
  <c r="F156" i="15" s="1"/>
  <c r="F59" i="15"/>
  <c r="F22" i="12"/>
  <c r="G22" i="12" s="1"/>
  <c r="F201" i="10" s="1"/>
  <c r="D22" i="12"/>
  <c r="C201" i="10" s="1"/>
  <c r="C22" i="12"/>
  <c r="B201" i="10" s="1"/>
  <c r="B22" i="12"/>
  <c r="G12" i="23"/>
  <c r="F96" i="7"/>
  <c r="E104" i="10" s="1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 s="1"/>
  <c r="G171" i="2"/>
  <c r="H171" i="2" s="1"/>
  <c r="D162" i="2"/>
  <c r="E162" i="2" s="1"/>
  <c r="D163" i="2"/>
  <c r="E163" i="2" s="1"/>
  <c r="D161" i="2"/>
  <c r="E161" i="2" s="1"/>
  <c r="E160" i="2"/>
  <c r="E151" i="2"/>
  <c r="E152" i="2"/>
  <c r="E153" i="2"/>
  <c r="E150" i="2"/>
  <c r="B89" i="12"/>
  <c r="H13" i="17" l="1"/>
  <c r="E201" i="10"/>
  <c r="F79" i="15"/>
  <c r="F19" i="12" s="1"/>
  <c r="G9" i="23"/>
  <c r="F174" i="10" s="1"/>
  <c r="E172" i="10"/>
  <c r="E102" i="10"/>
  <c r="G99" i="7"/>
  <c r="F107" i="10" s="1"/>
  <c r="G106" i="7"/>
  <c r="F114" i="10" s="1"/>
  <c r="E115" i="10"/>
  <c r="E111" i="10"/>
  <c r="G105" i="7"/>
  <c r="F113" i="10" s="1"/>
  <c r="G104" i="7"/>
  <c r="F112" i="10" s="1"/>
  <c r="E108" i="10"/>
  <c r="E95" i="10"/>
  <c r="G102" i="7"/>
  <c r="F110" i="10" s="1"/>
  <c r="E109" i="10"/>
  <c r="G96" i="7"/>
  <c r="F104" i="10" s="1"/>
  <c r="E164" i="2"/>
  <c r="G6" i="23"/>
  <c r="F171" i="10" s="1"/>
  <c r="G5" i="23"/>
  <c r="F170" i="10" s="1"/>
  <c r="E169" i="10"/>
  <c r="E106" i="10"/>
  <c r="E101" i="10"/>
  <c r="G82" i="7"/>
  <c r="E243" i="10"/>
  <c r="G64" i="12"/>
  <c r="F243" i="10" s="1"/>
  <c r="F8" i="10"/>
  <c r="G8" i="10" s="1"/>
  <c r="F248" i="15"/>
  <c r="H178" i="2"/>
  <c r="E154" i="2"/>
  <c r="E165" i="2"/>
  <c r="F87" i="22" s="1"/>
  <c r="E198" i="10" l="1"/>
  <c r="G19" i="12"/>
  <c r="F198" i="10" s="1"/>
  <c r="H22" i="20"/>
  <c r="F176" i="10"/>
  <c r="F177" i="10" s="1"/>
  <c r="F178" i="10" s="1"/>
  <c r="F90" i="10"/>
  <c r="S87" i="17"/>
  <c r="R87" i="17"/>
  <c r="Q87" i="17"/>
  <c r="P87" i="17"/>
  <c r="O87" i="17"/>
  <c r="N87" i="17"/>
  <c r="M87" i="17"/>
  <c r="G22" i="20" l="1"/>
  <c r="G178" i="10"/>
  <c r="E74" i="2"/>
  <c r="D136" i="2"/>
  <c r="E136" i="2" s="1"/>
  <c r="D139" i="2"/>
  <c r="E139" i="2" s="1"/>
  <c r="E137" i="2"/>
  <c r="E138" i="2"/>
  <c r="D134" i="2"/>
  <c r="E134" i="2" s="1"/>
  <c r="D133" i="2"/>
  <c r="E133" i="2" s="1"/>
  <c r="E128" i="2"/>
  <c r="E129" i="2"/>
  <c r="E130" i="2"/>
  <c r="E131" i="2"/>
  <c r="E132" i="2"/>
  <c r="E135" i="2"/>
  <c r="D122" i="2"/>
  <c r="E122" i="2" s="1"/>
  <c r="D123" i="2"/>
  <c r="E123" i="2" s="1"/>
  <c r="E120" i="2"/>
  <c r="E121" i="2"/>
  <c r="E124" i="2"/>
  <c r="E125" i="2"/>
  <c r="E126" i="2"/>
  <c r="E127" i="2"/>
  <c r="E119" i="2"/>
  <c r="E118" i="2"/>
  <c r="E92" i="2"/>
  <c r="E93" i="2"/>
  <c r="E94" i="2"/>
  <c r="E95" i="2"/>
  <c r="E96" i="2"/>
  <c r="E97" i="2"/>
  <c r="H12" i="2"/>
  <c r="I12" i="2" s="1"/>
  <c r="G55" i="2"/>
  <c r="H55" i="2" s="1"/>
  <c r="I55" i="2" s="1"/>
  <c r="G41" i="2"/>
  <c r="H41" i="2" s="1"/>
  <c r="I41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39" i="2"/>
  <c r="I39" i="2" s="1"/>
  <c r="H40" i="2"/>
  <c r="I40" i="2" s="1"/>
  <c r="G34" i="2"/>
  <c r="H34" i="2" s="1"/>
  <c r="I34" i="2" s="1"/>
  <c r="G35" i="2"/>
  <c r="H35" i="2" s="1"/>
  <c r="I35" i="2" s="1"/>
  <c r="G33" i="2"/>
  <c r="H33" i="2" s="1"/>
  <c r="I33" i="2" s="1"/>
  <c r="H36" i="2"/>
  <c r="I36" i="2" s="1"/>
  <c r="F32" i="2"/>
  <c r="H32" i="2" s="1"/>
  <c r="I32" i="2" s="1"/>
  <c r="H26" i="2"/>
  <c r="H21" i="2"/>
  <c r="I21" i="2" s="1"/>
  <c r="H22" i="2"/>
  <c r="I22" i="2" s="1"/>
  <c r="H23" i="2"/>
  <c r="I23" i="2" s="1"/>
  <c r="H24" i="2"/>
  <c r="I24" i="2" s="1"/>
  <c r="H14" i="2"/>
  <c r="I14" i="2" s="1"/>
  <c r="H15" i="2"/>
  <c r="I15" i="2" s="1"/>
  <c r="H16" i="2"/>
  <c r="I16" i="2" s="1"/>
  <c r="H17" i="2"/>
  <c r="I17" i="2" s="1"/>
  <c r="H18" i="2"/>
  <c r="I18" i="2" s="1"/>
  <c r="H5" i="2"/>
  <c r="F33" i="7"/>
  <c r="F32" i="7"/>
  <c r="F31" i="7"/>
  <c r="F30" i="7"/>
  <c r="F29" i="7"/>
  <c r="F28" i="7"/>
  <c r="J24" i="7"/>
  <c r="F24" i="7" s="1"/>
  <c r="K20" i="7"/>
  <c r="L20" i="7"/>
  <c r="K18" i="7"/>
  <c r="L18" i="7"/>
  <c r="L17" i="7"/>
  <c r="K17" i="7"/>
  <c r="F35" i="7"/>
  <c r="F525" i="15"/>
  <c r="F108" i="12" s="1"/>
  <c r="H528" i="15"/>
  <c r="F528" i="15" s="1"/>
  <c r="F527" i="15" s="1"/>
  <c r="F109" i="12" s="1"/>
  <c r="F79" i="7"/>
  <c r="F80" i="7"/>
  <c r="U4" i="21"/>
  <c r="Q4" i="21"/>
  <c r="E85" i="10" l="1"/>
  <c r="G77" i="7"/>
  <c r="G24" i="7"/>
  <c r="F32" i="10" s="1"/>
  <c r="E32" i="10"/>
  <c r="G35" i="7"/>
  <c r="F43" i="10" s="1"/>
  <c r="E43" i="10"/>
  <c r="E36" i="10"/>
  <c r="G28" i="7"/>
  <c r="F36" i="10" s="1"/>
  <c r="E37" i="10"/>
  <c r="G29" i="7"/>
  <c r="F37" i="10" s="1"/>
  <c r="G81" i="7"/>
  <c r="F89" i="10" s="1"/>
  <c r="E89" i="10"/>
  <c r="G80" i="7"/>
  <c r="F88" i="10" s="1"/>
  <c r="E88" i="10"/>
  <c r="E39" i="10"/>
  <c r="G31" i="7"/>
  <c r="F39" i="10" s="1"/>
  <c r="E41" i="10"/>
  <c r="G33" i="7"/>
  <c r="F41" i="10" s="1"/>
  <c r="G30" i="7"/>
  <c r="F38" i="10" s="1"/>
  <c r="E38" i="10"/>
  <c r="G79" i="7"/>
  <c r="F87" i="10" s="1"/>
  <c r="E87" i="10"/>
  <c r="G32" i="7"/>
  <c r="F40" i="10" s="1"/>
  <c r="E40" i="10"/>
  <c r="G109" i="12"/>
  <c r="F288" i="10" s="1"/>
  <c r="E288" i="10"/>
  <c r="G108" i="12"/>
  <c r="F287" i="10" s="1"/>
  <c r="E287" i="10"/>
  <c r="F20" i="7"/>
  <c r="F17" i="7"/>
  <c r="F18" i="7"/>
  <c r="I26" i="2"/>
  <c r="H27" i="2"/>
  <c r="I27" i="2" s="1"/>
  <c r="E107" i="2"/>
  <c r="E106" i="2"/>
  <c r="E91" i="2"/>
  <c r="F113" i="12"/>
  <c r="D113" i="12"/>
  <c r="C292" i="10" s="1"/>
  <c r="B113" i="12"/>
  <c r="C113" i="12"/>
  <c r="B292" i="10" s="1"/>
  <c r="M18" i="20"/>
  <c r="F18" i="20" s="1"/>
  <c r="J19" i="17"/>
  <c r="S7" i="21"/>
  <c r="K20" i="22"/>
  <c r="F106" i="22"/>
  <c r="F116" i="22" s="1"/>
  <c r="E102" i="22"/>
  <c r="E101" i="22"/>
  <c r="E100" i="22"/>
  <c r="E74" i="22"/>
  <c r="E73" i="22"/>
  <c r="E72" i="22"/>
  <c r="E71" i="22"/>
  <c r="E70" i="22"/>
  <c r="E62" i="22"/>
  <c r="E59" i="22"/>
  <c r="E44" i="22"/>
  <c r="E31" i="22"/>
  <c r="E30" i="22"/>
  <c r="E102" i="17"/>
  <c r="E101" i="17"/>
  <c r="E100" i="17"/>
  <c r="E44" i="17"/>
  <c r="F19" i="22" l="1"/>
  <c r="F25" i="22" s="1"/>
  <c r="F85" i="10"/>
  <c r="E26" i="10"/>
  <c r="G18" i="7"/>
  <c r="F26" i="10" s="1"/>
  <c r="G17" i="7"/>
  <c r="E25" i="10"/>
  <c r="G20" i="7"/>
  <c r="F28" i="10" s="1"/>
  <c r="E28" i="10"/>
  <c r="E292" i="10"/>
  <c r="G113" i="12"/>
  <c r="F292" i="10" s="1"/>
  <c r="E99" i="22"/>
  <c r="E98" i="22" s="1"/>
  <c r="E99" i="17"/>
  <c r="E98" i="17" s="1"/>
  <c r="C31" i="21"/>
  <c r="H48" i="17" s="1"/>
  <c r="N20" i="17"/>
  <c r="M20" i="17"/>
  <c r="Q19" i="17"/>
  <c r="Q20" i="17" s="1"/>
  <c r="R19" i="17"/>
  <c r="F73" i="22" l="1"/>
  <c r="F62" i="22"/>
  <c r="F63" i="22" s="1"/>
  <c r="F44" i="22"/>
  <c r="F72" i="22"/>
  <c r="F30" i="22"/>
  <c r="F74" i="22"/>
  <c r="F70" i="22"/>
  <c r="F59" i="22"/>
  <c r="F107" i="22"/>
  <c r="F71" i="22"/>
  <c r="F31" i="22"/>
  <c r="F25" i="10"/>
  <c r="F64" i="22"/>
  <c r="F61" i="22"/>
  <c r="F75" i="22"/>
  <c r="N50" i="17"/>
  <c r="L50" i="17"/>
  <c r="K50" i="17"/>
  <c r="P50" i="17"/>
  <c r="I50" i="17"/>
  <c r="O50" i="17"/>
  <c r="M50" i="17"/>
  <c r="F48" i="17"/>
  <c r="G48" i="17"/>
  <c r="C43" i="21"/>
  <c r="H50" i="17" l="1"/>
  <c r="G50" i="17"/>
  <c r="F50" i="17"/>
  <c r="G106" i="17"/>
  <c r="G116" i="17" s="1"/>
  <c r="H106" i="17"/>
  <c r="H116" i="17" s="1"/>
  <c r="I106" i="17"/>
  <c r="I116" i="17" s="1"/>
  <c r="J106" i="17"/>
  <c r="J116" i="17" s="1"/>
  <c r="K106" i="17"/>
  <c r="K116" i="17" s="1"/>
  <c r="L106" i="17"/>
  <c r="L116" i="17" s="1"/>
  <c r="M106" i="17"/>
  <c r="M116" i="17" s="1"/>
  <c r="N106" i="17"/>
  <c r="N116" i="17" s="1"/>
  <c r="O106" i="17"/>
  <c r="O116" i="17" s="1"/>
  <c r="P106" i="17"/>
  <c r="P116" i="17" s="1"/>
  <c r="Q106" i="17"/>
  <c r="Q116" i="17" s="1"/>
  <c r="R106" i="17"/>
  <c r="R116" i="17" s="1"/>
  <c r="S106" i="17"/>
  <c r="S116" i="17" s="1"/>
  <c r="F106" i="17"/>
  <c r="F116" i="17" s="1"/>
  <c r="P25" i="17"/>
  <c r="P44" i="17" s="1"/>
  <c r="O25" i="17"/>
  <c r="O44" i="17" s="1"/>
  <c r="N25" i="17"/>
  <c r="N44" i="17" s="1"/>
  <c r="Q25" i="17"/>
  <c r="Q44" i="17" s="1"/>
  <c r="L25" i="17"/>
  <c r="L44" i="17" s="1"/>
  <c r="J25" i="17"/>
  <c r="J44" i="17" s="1"/>
  <c r="I25" i="17"/>
  <c r="I44" i="17" s="1"/>
  <c r="H91" i="17"/>
  <c r="H111" i="17" s="1"/>
  <c r="G91" i="17"/>
  <c r="G111" i="17" s="1"/>
  <c r="C83" i="21"/>
  <c r="D68" i="21"/>
  <c r="D67" i="21"/>
  <c r="D66" i="21"/>
  <c r="D65" i="21"/>
  <c r="D64" i="21"/>
  <c r="D54" i="21"/>
  <c r="D48" i="21"/>
  <c r="D25" i="21"/>
  <c r="D24" i="21"/>
  <c r="D23" i="21"/>
  <c r="D22" i="21"/>
  <c r="D21" i="21"/>
  <c r="D19" i="21"/>
  <c r="D18" i="21"/>
  <c r="D17" i="21"/>
  <c r="E36" i="22" s="1"/>
  <c r="A13" i="21"/>
  <c r="D10" i="21"/>
  <c r="D9" i="21"/>
  <c r="H18" i="20"/>
  <c r="D6" i="20"/>
  <c r="B12" i="10"/>
  <c r="A12" i="10"/>
  <c r="E114" i="2"/>
  <c r="F91" i="17"/>
  <c r="E74" i="17"/>
  <c r="E73" i="17"/>
  <c r="E72" i="17"/>
  <c r="E71" i="17"/>
  <c r="E70" i="17"/>
  <c r="E62" i="17"/>
  <c r="E59" i="17"/>
  <c r="E31" i="17"/>
  <c r="E30" i="17"/>
  <c r="S25" i="17"/>
  <c r="S44" i="17" s="1"/>
  <c r="R25" i="17"/>
  <c r="R44" i="17" s="1"/>
  <c r="M25" i="17"/>
  <c r="M44" i="17" s="1"/>
  <c r="K25" i="17"/>
  <c r="K44" i="17" s="1"/>
  <c r="E43" i="17" l="1"/>
  <c r="O43" i="17" s="1"/>
  <c r="E43" i="22"/>
  <c r="F43" i="22" s="1"/>
  <c r="E37" i="17"/>
  <c r="Q37" i="17" s="1"/>
  <c r="E37" i="22"/>
  <c r="F37" i="22" s="1"/>
  <c r="E38" i="17"/>
  <c r="L38" i="17" s="1"/>
  <c r="E38" i="22"/>
  <c r="F38" i="22" s="1"/>
  <c r="E42" i="17"/>
  <c r="K42" i="17" s="1"/>
  <c r="E42" i="22"/>
  <c r="F42" i="22" s="1"/>
  <c r="J49" i="17"/>
  <c r="N74" i="17"/>
  <c r="E39" i="17"/>
  <c r="P39" i="17" s="1"/>
  <c r="E39" i="22"/>
  <c r="F39" i="22" s="1"/>
  <c r="F36" i="22"/>
  <c r="E40" i="17"/>
  <c r="P40" i="17" s="1"/>
  <c r="E40" i="22"/>
  <c r="F40" i="22" s="1"/>
  <c r="E41" i="17"/>
  <c r="O41" i="17" s="1"/>
  <c r="E41" i="22"/>
  <c r="F41" i="22" s="1"/>
  <c r="L71" i="17"/>
  <c r="L72" i="17"/>
  <c r="F25" i="17"/>
  <c r="F44" i="17" s="1"/>
  <c r="H25" i="17"/>
  <c r="H44" i="17" s="1"/>
  <c r="G25" i="17"/>
  <c r="G44" i="17" s="1"/>
  <c r="E36" i="17"/>
  <c r="D27" i="21"/>
  <c r="D58" i="21" s="1"/>
  <c r="L73" i="17"/>
  <c r="M73" i="17"/>
  <c r="Q49" i="17"/>
  <c r="R49" i="17"/>
  <c r="S49" i="17"/>
  <c r="C32" i="21"/>
  <c r="P49" i="17"/>
  <c r="N49" i="17"/>
  <c r="O49" i="17"/>
  <c r="M49" i="17"/>
  <c r="L49" i="17"/>
  <c r="K49" i="17"/>
  <c r="I49" i="17"/>
  <c r="H49" i="17"/>
  <c r="H53" i="17" s="1"/>
  <c r="G49" i="17"/>
  <c r="G53" i="17" s="1"/>
  <c r="F49" i="17"/>
  <c r="F53" i="17" s="1"/>
  <c r="D55" i="21"/>
  <c r="D69" i="21"/>
  <c r="D11" i="21"/>
  <c r="P59" i="17"/>
  <c r="P31" i="17"/>
  <c r="L74" i="17"/>
  <c r="N62" i="17"/>
  <c r="N63" i="17" s="1"/>
  <c r="N59" i="17"/>
  <c r="L70" i="17"/>
  <c r="P107" i="17"/>
  <c r="P72" i="17"/>
  <c r="P73" i="17"/>
  <c r="O31" i="17"/>
  <c r="P62" i="17"/>
  <c r="P63" i="17" s="1"/>
  <c r="P74" i="17"/>
  <c r="P71" i="17"/>
  <c r="O107" i="17"/>
  <c r="P70" i="17"/>
  <c r="P30" i="17"/>
  <c r="O59" i="17"/>
  <c r="O71" i="17"/>
  <c r="O72" i="17"/>
  <c r="O70" i="17"/>
  <c r="O73" i="17"/>
  <c r="N31" i="17"/>
  <c r="O37" i="17"/>
  <c r="O62" i="17"/>
  <c r="O63" i="17" s="1"/>
  <c r="O74" i="17"/>
  <c r="N107" i="17"/>
  <c r="O30" i="17"/>
  <c r="N71" i="17"/>
  <c r="N72" i="17"/>
  <c r="N73" i="17"/>
  <c r="N70" i="17"/>
  <c r="N30" i="17"/>
  <c r="Q72" i="17"/>
  <c r="Q30" i="17"/>
  <c r="Q31" i="17"/>
  <c r="Q70" i="17"/>
  <c r="Q107" i="17"/>
  <c r="Q43" i="17"/>
  <c r="Q59" i="17"/>
  <c r="Q71" i="17"/>
  <c r="Q73" i="17"/>
  <c r="Q62" i="17"/>
  <c r="Q63" i="17" s="1"/>
  <c r="Q74" i="17"/>
  <c r="J43" i="17"/>
  <c r="L31" i="17"/>
  <c r="L107" i="17"/>
  <c r="L59" i="17"/>
  <c r="I31" i="17"/>
  <c r="J31" i="17"/>
  <c r="J59" i="17"/>
  <c r="L37" i="17"/>
  <c r="L62" i="17"/>
  <c r="L63" i="17" s="1"/>
  <c r="J37" i="17"/>
  <c r="J70" i="17"/>
  <c r="J107" i="17"/>
  <c r="J71" i="17"/>
  <c r="J72" i="17"/>
  <c r="L30" i="17"/>
  <c r="J73" i="17"/>
  <c r="J62" i="17"/>
  <c r="J63" i="17" s="1"/>
  <c r="J74" i="17"/>
  <c r="J30" i="17"/>
  <c r="I70" i="17"/>
  <c r="I30" i="17"/>
  <c r="I107" i="17"/>
  <c r="I59" i="17"/>
  <c r="I71" i="17"/>
  <c r="I72" i="17"/>
  <c r="I73" i="17"/>
  <c r="I62" i="17"/>
  <c r="I63" i="17" s="1"/>
  <c r="I74" i="17"/>
  <c r="R30" i="17"/>
  <c r="S31" i="17"/>
  <c r="K31" i="17"/>
  <c r="K73" i="17"/>
  <c r="K30" i="17"/>
  <c r="K72" i="17"/>
  <c r="S62" i="17"/>
  <c r="S63" i="17" s="1"/>
  <c r="K43" i="17"/>
  <c r="M74" i="17"/>
  <c r="K107" i="17"/>
  <c r="S30" i="17"/>
  <c r="S43" i="17"/>
  <c r="S70" i="17"/>
  <c r="K74" i="17"/>
  <c r="S107" i="17"/>
  <c r="S74" i="17"/>
  <c r="K59" i="17"/>
  <c r="K71" i="17"/>
  <c r="M72" i="17"/>
  <c r="R74" i="17"/>
  <c r="F111" i="17"/>
  <c r="M59" i="17"/>
  <c r="R43" i="17"/>
  <c r="K62" i="17"/>
  <c r="K63" i="17" s="1"/>
  <c r="M70" i="17"/>
  <c r="R72" i="17"/>
  <c r="S73" i="17"/>
  <c r="M107" i="17"/>
  <c r="M71" i="17"/>
  <c r="R59" i="17"/>
  <c r="M62" i="17"/>
  <c r="M63" i="17" s="1"/>
  <c r="R71" i="17"/>
  <c r="S72" i="17"/>
  <c r="K70" i="17"/>
  <c r="R73" i="17"/>
  <c r="M31" i="17"/>
  <c r="M30" i="17"/>
  <c r="S59" i="17"/>
  <c r="R70" i="17"/>
  <c r="S71" i="17"/>
  <c r="R107" i="17"/>
  <c r="R31" i="17"/>
  <c r="R62" i="17"/>
  <c r="R63" i="17" s="1"/>
  <c r="R41" i="17"/>
  <c r="M41" i="17" l="1"/>
  <c r="I38" i="17"/>
  <c r="L43" i="17"/>
  <c r="P37" i="17"/>
  <c r="K41" i="17"/>
  <c r="P43" i="17"/>
  <c r="M43" i="17"/>
  <c r="Q41" i="17"/>
  <c r="K37" i="17"/>
  <c r="I37" i="17"/>
  <c r="I41" i="17"/>
  <c r="J41" i="17"/>
  <c r="N37" i="17"/>
  <c r="P41" i="17"/>
  <c r="R37" i="17"/>
  <c r="M37" i="17"/>
  <c r="S37" i="17"/>
  <c r="S41" i="17"/>
  <c r="I43" i="17"/>
  <c r="N43" i="17"/>
  <c r="L41" i="17"/>
  <c r="Q38" i="17"/>
  <c r="N41" i="17"/>
  <c r="R40" i="17"/>
  <c r="O39" i="17"/>
  <c r="J39" i="17"/>
  <c r="G73" i="17"/>
  <c r="I39" i="17"/>
  <c r="N39" i="17"/>
  <c r="D70" i="21"/>
  <c r="D71" i="21" s="1"/>
  <c r="Q39" i="17"/>
  <c r="M40" i="17"/>
  <c r="I40" i="17"/>
  <c r="S39" i="17"/>
  <c r="R39" i="17"/>
  <c r="K39" i="17"/>
  <c r="M39" i="17"/>
  <c r="L39" i="17"/>
  <c r="G41" i="17"/>
  <c r="G31" i="17"/>
  <c r="E45" i="22"/>
  <c r="K40" i="17"/>
  <c r="O42" i="17"/>
  <c r="F71" i="17"/>
  <c r="S40" i="17"/>
  <c r="I42" i="17"/>
  <c r="Q40" i="17"/>
  <c r="N38" i="17"/>
  <c r="P42" i="17"/>
  <c r="N40" i="17"/>
  <c r="F48" i="22"/>
  <c r="J48" i="17"/>
  <c r="J53" i="17" s="1"/>
  <c r="O40" i="17"/>
  <c r="R42" i="17"/>
  <c r="L42" i="17"/>
  <c r="N42" i="17"/>
  <c r="F45" i="22"/>
  <c r="S38" i="17"/>
  <c r="M42" i="17"/>
  <c r="K38" i="17"/>
  <c r="J38" i="17"/>
  <c r="O38" i="17"/>
  <c r="L40" i="17"/>
  <c r="E45" i="17"/>
  <c r="E76" i="17" s="1"/>
  <c r="S42" i="17"/>
  <c r="J42" i="17"/>
  <c r="M38" i="17"/>
  <c r="Q42" i="17"/>
  <c r="P38" i="17"/>
  <c r="J40" i="17"/>
  <c r="F43" i="17"/>
  <c r="R38" i="17"/>
  <c r="F70" i="17"/>
  <c r="F37" i="17"/>
  <c r="S36" i="17"/>
  <c r="F30" i="17"/>
  <c r="H59" i="17"/>
  <c r="H107" i="17"/>
  <c r="F39" i="17"/>
  <c r="F72" i="17"/>
  <c r="H74" i="17"/>
  <c r="H31" i="17"/>
  <c r="H42" i="17"/>
  <c r="F40" i="17"/>
  <c r="F42" i="17"/>
  <c r="F31" i="17"/>
  <c r="G37" i="17"/>
  <c r="H73" i="17"/>
  <c r="G70" i="17"/>
  <c r="H62" i="17"/>
  <c r="H63" i="17" s="1"/>
  <c r="G59" i="17"/>
  <c r="H37" i="17"/>
  <c r="F107" i="17"/>
  <c r="G30" i="17"/>
  <c r="H30" i="17"/>
  <c r="H72" i="17"/>
  <c r="F59" i="17"/>
  <c r="H41" i="17"/>
  <c r="F74" i="17"/>
  <c r="F73" i="17"/>
  <c r="G43" i="17"/>
  <c r="H39" i="17"/>
  <c r="H43" i="17"/>
  <c r="G74" i="17"/>
  <c r="G72" i="17"/>
  <c r="G107" i="17"/>
  <c r="H70" i="17"/>
  <c r="G39" i="17"/>
  <c r="G38" i="17"/>
  <c r="G71" i="17"/>
  <c r="F41" i="17"/>
  <c r="F38" i="17"/>
  <c r="F62" i="17"/>
  <c r="F63" i="17" s="1"/>
  <c r="G42" i="17"/>
  <c r="H38" i="17"/>
  <c r="H71" i="17"/>
  <c r="G62" i="17"/>
  <c r="G63" i="17" s="1"/>
  <c r="R36" i="17"/>
  <c r="G36" i="17"/>
  <c r="J36" i="17"/>
  <c r="F36" i="17"/>
  <c r="L36" i="17"/>
  <c r="H40" i="17"/>
  <c r="Q36" i="17"/>
  <c r="O36" i="17"/>
  <c r="N36" i="17"/>
  <c r="M36" i="17"/>
  <c r="H36" i="17"/>
  <c r="G40" i="17"/>
  <c r="K36" i="17"/>
  <c r="I36" i="17"/>
  <c r="P36" i="17"/>
  <c r="D60" i="21"/>
  <c r="S48" i="17"/>
  <c r="S53" i="17" s="1"/>
  <c r="K48" i="17"/>
  <c r="K53" i="17" s="1"/>
  <c r="Q48" i="17"/>
  <c r="Q53" i="17" s="1"/>
  <c r="I48" i="17"/>
  <c r="I53" i="17" s="1"/>
  <c r="P48" i="17"/>
  <c r="P53" i="17" s="1"/>
  <c r="M48" i="17"/>
  <c r="M53" i="17" s="1"/>
  <c r="L48" i="17"/>
  <c r="L53" i="17" s="1"/>
  <c r="R48" i="17"/>
  <c r="R53" i="17" s="1"/>
  <c r="O48" i="17"/>
  <c r="O53" i="17" s="1"/>
  <c r="N48" i="17"/>
  <c r="N53" i="17" s="1"/>
  <c r="D12" i="21"/>
  <c r="D13" i="21" s="1"/>
  <c r="O61" i="17"/>
  <c r="Q61" i="17"/>
  <c r="L75" i="17"/>
  <c r="P75" i="17"/>
  <c r="P64" i="17"/>
  <c r="I61" i="17"/>
  <c r="P61" i="17"/>
  <c r="O75" i="17"/>
  <c r="L64" i="17"/>
  <c r="O64" i="17"/>
  <c r="Q75" i="17"/>
  <c r="N75" i="17"/>
  <c r="N61" i="17"/>
  <c r="N64" i="17"/>
  <c r="Q64" i="17"/>
  <c r="J64" i="17"/>
  <c r="L61" i="17"/>
  <c r="J75" i="17"/>
  <c r="I75" i="17"/>
  <c r="J61" i="17"/>
  <c r="I64" i="17"/>
  <c r="S64" i="17"/>
  <c r="K61" i="17"/>
  <c r="M61" i="17"/>
  <c r="S61" i="17"/>
  <c r="S75" i="17"/>
  <c r="K64" i="17"/>
  <c r="K75" i="17"/>
  <c r="M75" i="17"/>
  <c r="R64" i="17"/>
  <c r="R61" i="17"/>
  <c r="M64" i="17"/>
  <c r="R75" i="17"/>
  <c r="N45" i="17" l="1"/>
  <c r="O45" i="17"/>
  <c r="Q45" i="17"/>
  <c r="G45" i="17"/>
  <c r="M45" i="17"/>
  <c r="L76" i="17"/>
  <c r="L77" i="17" s="1"/>
  <c r="E81" i="17"/>
  <c r="F81" i="17" s="1"/>
  <c r="F82" i="17" s="1"/>
  <c r="R45" i="17"/>
  <c r="G61" i="17"/>
  <c r="P45" i="17"/>
  <c r="K45" i="17"/>
  <c r="L45" i="17"/>
  <c r="E60" i="17"/>
  <c r="L60" i="17" s="1"/>
  <c r="L65" i="17" s="1"/>
  <c r="L109" i="17" s="1"/>
  <c r="E32" i="17"/>
  <c r="K32" i="17" s="1"/>
  <c r="K33" i="17" s="1"/>
  <c r="K76" i="17"/>
  <c r="K77" i="17" s="1"/>
  <c r="I45" i="17"/>
  <c r="S45" i="17"/>
  <c r="M76" i="17"/>
  <c r="M77" i="17" s="1"/>
  <c r="F75" i="17"/>
  <c r="F76" i="17" s="1"/>
  <c r="F77" i="17" s="1"/>
  <c r="S76" i="17"/>
  <c r="S77" i="17" s="1"/>
  <c r="I76" i="17"/>
  <c r="I77" i="17" s="1"/>
  <c r="H64" i="17"/>
  <c r="J76" i="17"/>
  <c r="J77" i="17" s="1"/>
  <c r="Q76" i="17"/>
  <c r="Q77" i="17" s="1"/>
  <c r="J45" i="17"/>
  <c r="E32" i="22"/>
  <c r="F32" i="22" s="1"/>
  <c r="F33" i="22" s="1"/>
  <c r="F55" i="22" s="1"/>
  <c r="F108" i="22" s="1"/>
  <c r="E76" i="22"/>
  <c r="F76" i="22" s="1"/>
  <c r="F77" i="22" s="1"/>
  <c r="E81" i="22"/>
  <c r="F81" i="22" s="1"/>
  <c r="F82" i="22" s="1"/>
  <c r="E60" i="22"/>
  <c r="F60" i="22" s="1"/>
  <c r="F65" i="22" s="1"/>
  <c r="F109" i="22" s="1"/>
  <c r="P32" i="17"/>
  <c r="P33" i="17" s="1"/>
  <c r="F64" i="17"/>
  <c r="H75" i="17"/>
  <c r="H76" i="17" s="1"/>
  <c r="H77" i="17" s="1"/>
  <c r="H61" i="17"/>
  <c r="G75" i="17"/>
  <c r="G76" i="17" s="1"/>
  <c r="G77" i="17" s="1"/>
  <c r="G64" i="17"/>
  <c r="F61" i="17"/>
  <c r="F45" i="17"/>
  <c r="H45" i="17"/>
  <c r="I60" i="17"/>
  <c r="I65" i="17" s="1"/>
  <c r="I109" i="17" s="1"/>
  <c r="K60" i="17"/>
  <c r="K65" i="17" s="1"/>
  <c r="K109" i="17" s="1"/>
  <c r="P76" i="17"/>
  <c r="P77" i="17" s="1"/>
  <c r="O76" i="17"/>
  <c r="O77" i="17" s="1"/>
  <c r="N76" i="17"/>
  <c r="N77" i="17" s="1"/>
  <c r="R76" i="17"/>
  <c r="R77" i="17" s="1"/>
  <c r="F60" i="17" l="1"/>
  <c r="F65" i="17" s="1"/>
  <c r="F109" i="17" s="1"/>
  <c r="H60" i="17"/>
  <c r="H65" i="17" s="1"/>
  <c r="H109" i="17" s="1"/>
  <c r="M60" i="17"/>
  <c r="M65" i="17" s="1"/>
  <c r="M109" i="17" s="1"/>
  <c r="K81" i="17"/>
  <c r="M81" i="17" s="1"/>
  <c r="Q81" i="17" s="1"/>
  <c r="Q82" i="17" s="1"/>
  <c r="Q84" i="17" s="1"/>
  <c r="Q110" i="17" s="1"/>
  <c r="G60" i="17"/>
  <c r="G65" i="17" s="1"/>
  <c r="G109" i="17" s="1"/>
  <c r="N60" i="17"/>
  <c r="N65" i="17" s="1"/>
  <c r="N109" i="17" s="1"/>
  <c r="R60" i="17"/>
  <c r="R65" i="17" s="1"/>
  <c r="R109" i="17" s="1"/>
  <c r="P60" i="17"/>
  <c r="P65" i="17" s="1"/>
  <c r="P109" i="17" s="1"/>
  <c r="J60" i="17"/>
  <c r="J65" i="17" s="1"/>
  <c r="J109" i="17" s="1"/>
  <c r="P55" i="17"/>
  <c r="P108" i="17" s="1"/>
  <c r="O60" i="17"/>
  <c r="O65" i="17" s="1"/>
  <c r="O109" i="17" s="1"/>
  <c r="Q60" i="17"/>
  <c r="Q65" i="17" s="1"/>
  <c r="Q109" i="17" s="1"/>
  <c r="S60" i="17"/>
  <c r="S65" i="17" s="1"/>
  <c r="S109" i="17" s="1"/>
  <c r="M32" i="17"/>
  <c r="M33" i="17" s="1"/>
  <c r="M55" i="17" s="1"/>
  <c r="M108" i="17" s="1"/>
  <c r="I81" i="17"/>
  <c r="I82" i="17" s="1"/>
  <c r="I84" i="17" s="1"/>
  <c r="I110" i="17" s="1"/>
  <c r="F32" i="17"/>
  <c r="F33" i="17" s="1"/>
  <c r="F55" i="17" s="1"/>
  <c r="F108" i="17" s="1"/>
  <c r="K55" i="17"/>
  <c r="K108" i="17" s="1"/>
  <c r="J81" i="17"/>
  <c r="J82" i="17" s="1"/>
  <c r="J84" i="17" s="1"/>
  <c r="J110" i="17" s="1"/>
  <c r="G81" i="17"/>
  <c r="L81" i="17" s="1"/>
  <c r="N81" i="17" s="1"/>
  <c r="F84" i="22"/>
  <c r="F110" i="22" s="1"/>
  <c r="F84" i="17"/>
  <c r="F110" i="17" s="1"/>
  <c r="N32" i="17"/>
  <c r="N33" i="17" s="1"/>
  <c r="N55" i="17" s="1"/>
  <c r="N108" i="17" s="1"/>
  <c r="S32" i="17"/>
  <c r="S33" i="17" s="1"/>
  <c r="S55" i="17" s="1"/>
  <c r="S108" i="17" s="1"/>
  <c r="H32" i="17"/>
  <c r="H33" i="17" s="1"/>
  <c r="H55" i="17" s="1"/>
  <c r="H108" i="17" s="1"/>
  <c r="R32" i="17"/>
  <c r="R33" i="17" s="1"/>
  <c r="R55" i="17" s="1"/>
  <c r="R108" i="17" s="1"/>
  <c r="I32" i="17"/>
  <c r="I33" i="17" s="1"/>
  <c r="I55" i="17" s="1"/>
  <c r="I108" i="17" s="1"/>
  <c r="O32" i="17"/>
  <c r="O33" i="17" s="1"/>
  <c r="O55" i="17" s="1"/>
  <c r="O108" i="17" s="1"/>
  <c r="Q32" i="17"/>
  <c r="Q33" i="17" s="1"/>
  <c r="Q55" i="17" s="1"/>
  <c r="Q108" i="17" s="1"/>
  <c r="J32" i="17"/>
  <c r="J33" i="17" s="1"/>
  <c r="J55" i="17" s="1"/>
  <c r="J108" i="17" s="1"/>
  <c r="G32" i="17"/>
  <c r="G33" i="17" s="1"/>
  <c r="G55" i="17" s="1"/>
  <c r="G108" i="17" s="1"/>
  <c r="L32" i="17"/>
  <c r="L33" i="17" s="1"/>
  <c r="L55" i="17" s="1"/>
  <c r="L108" i="17" s="1"/>
  <c r="K82" i="17"/>
  <c r="K84" i="17" s="1"/>
  <c r="K110" i="17" s="1"/>
  <c r="M82" i="17" l="1"/>
  <c r="M84" i="17" s="1"/>
  <c r="M110" i="17" s="1"/>
  <c r="O81" i="17"/>
  <c r="O82" i="17" s="1"/>
  <c r="O84" i="17" s="1"/>
  <c r="O110" i="17" s="1"/>
  <c r="H81" i="17"/>
  <c r="H82" i="17" s="1"/>
  <c r="H84" i="17" s="1"/>
  <c r="H110" i="17" s="1"/>
  <c r="L82" i="17"/>
  <c r="L84" i="17" s="1"/>
  <c r="L110" i="17" s="1"/>
  <c r="G82" i="17"/>
  <c r="G84" i="17" s="1"/>
  <c r="G110" i="17" s="1"/>
  <c r="F93" i="17"/>
  <c r="F96" i="17" s="1"/>
  <c r="F97" i="17" s="1"/>
  <c r="R81" i="17"/>
  <c r="S81" i="17" s="1"/>
  <c r="S82" i="17" s="1"/>
  <c r="S84" i="17" s="1"/>
  <c r="N82" i="17"/>
  <c r="N84" i="17" s="1"/>
  <c r="N110" i="17" s="1"/>
  <c r="P81" i="17"/>
  <c r="P82" i="17" s="1"/>
  <c r="P84" i="17" s="1"/>
  <c r="H93" i="17" l="1"/>
  <c r="H96" i="17" s="1"/>
  <c r="H97" i="17" s="1"/>
  <c r="G93" i="17"/>
  <c r="G96" i="17" s="1"/>
  <c r="H20" i="20"/>
  <c r="F98" i="17"/>
  <c r="F100" i="17" s="1"/>
  <c r="R82" i="17"/>
  <c r="R84" i="17" s="1"/>
  <c r="R110" i="17" s="1"/>
  <c r="P110" i="17"/>
  <c r="S110" i="17"/>
  <c r="H98" i="17" l="1"/>
  <c r="H102" i="17" s="1"/>
  <c r="G97" i="17"/>
  <c r="G98" i="17" s="1"/>
  <c r="G102" i="17" s="1"/>
  <c r="H100" i="17"/>
  <c r="F101" i="17"/>
  <c r="F102" i="17"/>
  <c r="H101" i="17" l="1"/>
  <c r="H103" i="17" s="1"/>
  <c r="H112" i="17" s="1"/>
  <c r="G100" i="17"/>
  <c r="G101" i="17"/>
  <c r="F103" i="17"/>
  <c r="F112" i="17" s="1"/>
  <c r="I5" i="2"/>
  <c r="H6" i="2"/>
  <c r="I6" i="2" s="1"/>
  <c r="H44" i="2"/>
  <c r="I44" i="2" s="1"/>
  <c r="H19" i="2"/>
  <c r="I19" i="2" s="1"/>
  <c r="H20" i="2"/>
  <c r="I20" i="2" s="1"/>
  <c r="H8" i="2"/>
  <c r="I8" i="2" s="1"/>
  <c r="H28" i="2"/>
  <c r="I28" i="2" s="1"/>
  <c r="H29" i="2"/>
  <c r="I29" i="2" s="1"/>
  <c r="H30" i="2"/>
  <c r="I30" i="2" s="1"/>
  <c r="H10" i="2"/>
  <c r="I10" i="2" s="1"/>
  <c r="H38" i="2"/>
  <c r="I38" i="2" s="1"/>
  <c r="H25" i="2"/>
  <c r="I25" i="2" s="1"/>
  <c r="H9" i="2"/>
  <c r="I9" i="2" s="1"/>
  <c r="H42" i="2"/>
  <c r="I42" i="2" s="1"/>
  <c r="H43" i="2"/>
  <c r="I43" i="2" s="1"/>
  <c r="H11" i="2"/>
  <c r="I11" i="2" s="1"/>
  <c r="H13" i="2"/>
  <c r="I13" i="2" s="1"/>
  <c r="H37" i="2"/>
  <c r="I37" i="2" s="1"/>
  <c r="H31" i="2"/>
  <c r="I31" i="2" s="1"/>
  <c r="H45" i="2"/>
  <c r="I45" i="2" s="1"/>
  <c r="H46" i="2"/>
  <c r="I46" i="2" s="1"/>
  <c r="H7" i="2"/>
  <c r="I7" i="2" s="1"/>
  <c r="D41" i="7"/>
  <c r="F12" i="10"/>
  <c r="E116" i="12"/>
  <c r="E56" i="12"/>
  <c r="C55" i="12"/>
  <c r="B234" i="10" s="1"/>
  <c r="E49" i="12"/>
  <c r="E48" i="12"/>
  <c r="E42" i="12"/>
  <c r="E36" i="12"/>
  <c r="F23" i="12"/>
  <c r="C23" i="12"/>
  <c r="B202" i="10" s="1"/>
  <c r="D23" i="12"/>
  <c r="C202" i="10" s="1"/>
  <c r="B23" i="12"/>
  <c r="E15" i="12"/>
  <c r="E320" i="15"/>
  <c r="E319" i="15"/>
  <c r="F111" i="12"/>
  <c r="E290" i="10" s="1"/>
  <c r="F112" i="12"/>
  <c r="F114" i="12"/>
  <c r="F115" i="12"/>
  <c r="F116" i="12"/>
  <c r="E295" i="10" s="1"/>
  <c r="F110" i="12"/>
  <c r="F107" i="12"/>
  <c r="F106" i="12"/>
  <c r="C106" i="12"/>
  <c r="B285" i="10" s="1"/>
  <c r="D106" i="12"/>
  <c r="C285" i="10" s="1"/>
  <c r="C107" i="12"/>
  <c r="B286" i="10" s="1"/>
  <c r="D107" i="12"/>
  <c r="C286" i="10" s="1"/>
  <c r="B107" i="12"/>
  <c r="B106" i="12"/>
  <c r="F105" i="12"/>
  <c r="F104" i="12"/>
  <c r="C104" i="12"/>
  <c r="B283" i="10" s="1"/>
  <c r="D104" i="12"/>
  <c r="C283" i="10" s="1"/>
  <c r="C105" i="12"/>
  <c r="B284" i="10" s="1"/>
  <c r="D105" i="12"/>
  <c r="C284" i="10" s="1"/>
  <c r="B105" i="12"/>
  <c r="B104" i="12"/>
  <c r="F103" i="12"/>
  <c r="F102" i="12"/>
  <c r="F101" i="12"/>
  <c r="C101" i="12"/>
  <c r="B280" i="10" s="1"/>
  <c r="D101" i="12"/>
  <c r="C280" i="10" s="1"/>
  <c r="C102" i="12"/>
  <c r="B281" i="10" s="1"/>
  <c r="D102" i="12"/>
  <c r="C281" i="10" s="1"/>
  <c r="C103" i="12"/>
  <c r="B282" i="10" s="1"/>
  <c r="D103" i="12"/>
  <c r="C282" i="10" s="1"/>
  <c r="B103" i="12"/>
  <c r="B102" i="12"/>
  <c r="B101" i="12"/>
  <c r="F91" i="12"/>
  <c r="E270" i="10" s="1"/>
  <c r="F92" i="12"/>
  <c r="F93" i="12"/>
  <c r="F94" i="12"/>
  <c r="E273" i="10" s="1"/>
  <c r="F95" i="12"/>
  <c r="F96" i="12"/>
  <c r="E275" i="10" s="1"/>
  <c r="F97" i="12"/>
  <c r="F98" i="12"/>
  <c r="F99" i="12"/>
  <c r="E278" i="10" s="1"/>
  <c r="F100" i="12"/>
  <c r="F90" i="12"/>
  <c r="E99" i="12"/>
  <c r="E96" i="12"/>
  <c r="E94" i="12"/>
  <c r="E91" i="12"/>
  <c r="F441" i="15"/>
  <c r="F84" i="12" s="1"/>
  <c r="F83" i="12"/>
  <c r="F65" i="12"/>
  <c r="D111" i="12"/>
  <c r="C290" i="10" s="1"/>
  <c r="D112" i="12"/>
  <c r="C291" i="10" s="1"/>
  <c r="D114" i="12"/>
  <c r="C293" i="10" s="1"/>
  <c r="D115" i="12"/>
  <c r="C294" i="10" s="1"/>
  <c r="D116" i="12"/>
  <c r="C295" i="10" s="1"/>
  <c r="D110" i="12"/>
  <c r="C289" i="10" s="1"/>
  <c r="C110" i="12"/>
  <c r="B289" i="10" s="1"/>
  <c r="C111" i="12"/>
  <c r="B290" i="10" s="1"/>
  <c r="C112" i="12"/>
  <c r="B291" i="10" s="1"/>
  <c r="C114" i="12"/>
  <c r="B293" i="10" s="1"/>
  <c r="C115" i="12"/>
  <c r="B294" i="10" s="1"/>
  <c r="C116" i="12"/>
  <c r="B295" i="10" s="1"/>
  <c r="B111" i="12"/>
  <c r="B112" i="12"/>
  <c r="B114" i="12"/>
  <c r="B115" i="12"/>
  <c r="B116" i="12"/>
  <c r="B110" i="12"/>
  <c r="D100" i="12"/>
  <c r="C279" i="10" s="1"/>
  <c r="C100" i="12"/>
  <c r="B279" i="10" s="1"/>
  <c r="B100" i="12"/>
  <c r="C90" i="12"/>
  <c r="B269" i="10" s="1"/>
  <c r="D90" i="12"/>
  <c r="C269" i="10" s="1"/>
  <c r="C91" i="12"/>
  <c r="B270" i="10" s="1"/>
  <c r="D91" i="12"/>
  <c r="C270" i="10" s="1"/>
  <c r="C92" i="12"/>
  <c r="B271" i="10" s="1"/>
  <c r="D92" i="12"/>
  <c r="C271" i="10" s="1"/>
  <c r="C93" i="12"/>
  <c r="B272" i="10" s="1"/>
  <c r="D93" i="12"/>
  <c r="C272" i="10" s="1"/>
  <c r="C94" i="12"/>
  <c r="B273" i="10" s="1"/>
  <c r="D94" i="12"/>
  <c r="C273" i="10" s="1"/>
  <c r="C95" i="12"/>
  <c r="B274" i="10" s="1"/>
  <c r="D95" i="12"/>
  <c r="C274" i="10" s="1"/>
  <c r="C96" i="12"/>
  <c r="B275" i="10" s="1"/>
  <c r="D96" i="12"/>
  <c r="C275" i="10" s="1"/>
  <c r="C97" i="12"/>
  <c r="B276" i="10" s="1"/>
  <c r="D97" i="12"/>
  <c r="C276" i="10" s="1"/>
  <c r="C98" i="12"/>
  <c r="B277" i="10" s="1"/>
  <c r="D98" i="12"/>
  <c r="C277" i="10" s="1"/>
  <c r="C99" i="12"/>
  <c r="B278" i="10" s="1"/>
  <c r="D99" i="12"/>
  <c r="C278" i="10" s="1"/>
  <c r="B99" i="12"/>
  <c r="B91" i="12"/>
  <c r="B92" i="12"/>
  <c r="B93" i="12"/>
  <c r="B94" i="12"/>
  <c r="B95" i="12"/>
  <c r="B96" i="12"/>
  <c r="B97" i="12"/>
  <c r="B98" i="12"/>
  <c r="B90" i="12"/>
  <c r="F89" i="12"/>
  <c r="C89" i="12"/>
  <c r="B268" i="10" s="1"/>
  <c r="D89" i="12"/>
  <c r="C268" i="10" s="1"/>
  <c r="F88" i="12"/>
  <c r="F87" i="12"/>
  <c r="F86" i="12"/>
  <c r="F85" i="12"/>
  <c r="C85" i="12"/>
  <c r="B264" i="10" s="1"/>
  <c r="D85" i="12"/>
  <c r="C264" i="10" s="1"/>
  <c r="C86" i="12"/>
  <c r="B265" i="10" s="1"/>
  <c r="D86" i="12"/>
  <c r="C265" i="10" s="1"/>
  <c r="C87" i="12"/>
  <c r="B266" i="10" s="1"/>
  <c r="D87" i="12"/>
  <c r="C266" i="10" s="1"/>
  <c r="C88" i="12"/>
  <c r="B267" i="10" s="1"/>
  <c r="D88" i="12"/>
  <c r="C267" i="10" s="1"/>
  <c r="B88" i="12"/>
  <c r="B87" i="12"/>
  <c r="B86" i="12"/>
  <c r="B85" i="12"/>
  <c r="C84" i="12"/>
  <c r="B263" i="10" s="1"/>
  <c r="D84" i="12"/>
  <c r="C263" i="10" s="1"/>
  <c r="B84" i="12"/>
  <c r="F82" i="12"/>
  <c r="F81" i="12"/>
  <c r="F80" i="12"/>
  <c r="C80" i="12"/>
  <c r="B259" i="10" s="1"/>
  <c r="D80" i="12"/>
  <c r="C259" i="10" s="1"/>
  <c r="C81" i="12"/>
  <c r="B260" i="10" s="1"/>
  <c r="D81" i="12"/>
  <c r="C260" i="10" s="1"/>
  <c r="C82" i="12"/>
  <c r="B261" i="10" s="1"/>
  <c r="D82" i="12"/>
  <c r="C261" i="10" s="1"/>
  <c r="C83" i="12"/>
  <c r="B262" i="10" s="1"/>
  <c r="D83" i="12"/>
  <c r="C262" i="10" s="1"/>
  <c r="B83" i="12"/>
  <c r="B82" i="12"/>
  <c r="B81" i="12"/>
  <c r="B80" i="12"/>
  <c r="F79" i="12"/>
  <c r="F78" i="12"/>
  <c r="F77" i="12"/>
  <c r="C77" i="12"/>
  <c r="B256" i="10" s="1"/>
  <c r="D77" i="12"/>
  <c r="C256" i="10" s="1"/>
  <c r="C78" i="12"/>
  <c r="B257" i="10" s="1"/>
  <c r="D78" i="12"/>
  <c r="C257" i="10" s="1"/>
  <c r="C79" i="12"/>
  <c r="B258" i="10" s="1"/>
  <c r="D79" i="12"/>
  <c r="C258" i="10" s="1"/>
  <c r="B79" i="12"/>
  <c r="B78" i="12"/>
  <c r="B77" i="12"/>
  <c r="F76" i="12"/>
  <c r="F75" i="12"/>
  <c r="F74" i="12"/>
  <c r="D74" i="12"/>
  <c r="C253" i="10" s="1"/>
  <c r="D75" i="12"/>
  <c r="C254" i="10" s="1"/>
  <c r="D76" i="12"/>
  <c r="C255" i="10" s="1"/>
  <c r="C74" i="12"/>
  <c r="B253" i="10" s="1"/>
  <c r="C75" i="12"/>
  <c r="B254" i="10" s="1"/>
  <c r="C76" i="12"/>
  <c r="B255" i="10" s="1"/>
  <c r="B76" i="12"/>
  <c r="B75" i="12"/>
  <c r="B74" i="12"/>
  <c r="F73" i="12"/>
  <c r="F72" i="12"/>
  <c r="C72" i="12"/>
  <c r="B251" i="10" s="1"/>
  <c r="D72" i="12"/>
  <c r="C251" i="10" s="1"/>
  <c r="C73" i="12"/>
  <c r="B252" i="10" s="1"/>
  <c r="D73" i="12"/>
  <c r="C252" i="10" s="1"/>
  <c r="B73" i="12"/>
  <c r="B72" i="12"/>
  <c r="F71" i="12"/>
  <c r="F70" i="12"/>
  <c r="F69" i="12"/>
  <c r="C69" i="12"/>
  <c r="B248" i="10" s="1"/>
  <c r="D69" i="12"/>
  <c r="C248" i="10" s="1"/>
  <c r="C70" i="12"/>
  <c r="B249" i="10" s="1"/>
  <c r="D70" i="12"/>
  <c r="C249" i="10" s="1"/>
  <c r="C71" i="12"/>
  <c r="B250" i="10" s="1"/>
  <c r="D71" i="12"/>
  <c r="C250" i="10" s="1"/>
  <c r="B71" i="12"/>
  <c r="B70" i="12"/>
  <c r="B69" i="12"/>
  <c r="F68" i="12"/>
  <c r="F67" i="12"/>
  <c r="F66" i="12"/>
  <c r="D66" i="12"/>
  <c r="C245" i="10" s="1"/>
  <c r="D67" i="12"/>
  <c r="C246" i="10" s="1"/>
  <c r="D68" i="12"/>
  <c r="C247" i="10" s="1"/>
  <c r="C66" i="12"/>
  <c r="B245" i="10" s="1"/>
  <c r="C67" i="12"/>
  <c r="B246" i="10" s="1"/>
  <c r="C68" i="12"/>
  <c r="B247" i="10" s="1"/>
  <c r="B68" i="12"/>
  <c r="B67" i="12"/>
  <c r="B66" i="12"/>
  <c r="C63" i="12"/>
  <c r="B242" i="10" s="1"/>
  <c r="D63" i="12"/>
  <c r="C242" i="10" s="1"/>
  <c r="C65" i="12"/>
  <c r="B244" i="10" s="1"/>
  <c r="D65" i="12"/>
  <c r="C244" i="10" s="1"/>
  <c r="B65" i="12"/>
  <c r="B63" i="12"/>
  <c r="G41" i="7" l="1"/>
  <c r="C49" i="10"/>
  <c r="D235" i="10"/>
  <c r="G88" i="12"/>
  <c r="F267" i="10" s="1"/>
  <c r="E267" i="10"/>
  <c r="E262" i="10"/>
  <c r="G83" i="12"/>
  <c r="F262" i="10" s="1"/>
  <c r="G114" i="12"/>
  <c r="F293" i="10" s="1"/>
  <c r="E293" i="10"/>
  <c r="D290" i="10"/>
  <c r="G111" i="12"/>
  <c r="F290" i="10" s="1"/>
  <c r="E244" i="10"/>
  <c r="G65" i="12"/>
  <c r="F244" i="10" s="1"/>
  <c r="G92" i="12"/>
  <c r="F271" i="10" s="1"/>
  <c r="E271" i="10"/>
  <c r="E254" i="10"/>
  <c r="G75" i="12"/>
  <c r="F254" i="10" s="1"/>
  <c r="G84" i="12"/>
  <c r="F263" i="10" s="1"/>
  <c r="E263" i="10"/>
  <c r="G98" i="12"/>
  <c r="F277" i="10" s="1"/>
  <c r="E277" i="10"/>
  <c r="G112" i="12"/>
  <c r="F291" i="10" s="1"/>
  <c r="E291" i="10"/>
  <c r="G23" i="12"/>
  <c r="F202" i="10" s="1"/>
  <c r="E202" i="10"/>
  <c r="G116" i="12"/>
  <c r="F295" i="10" s="1"/>
  <c r="D295" i="10"/>
  <c r="E258" i="10"/>
  <c r="G79" i="12"/>
  <c r="F258" i="10" s="1"/>
  <c r="G86" i="12"/>
  <c r="F265" i="10" s="1"/>
  <c r="E265" i="10"/>
  <c r="E269" i="10"/>
  <c r="G90" i="12"/>
  <c r="F269" i="10" s="1"/>
  <c r="E266" i="10"/>
  <c r="G87" i="12"/>
  <c r="F266" i="10" s="1"/>
  <c r="E246" i="10"/>
  <c r="G67" i="12"/>
  <c r="F246" i="10" s="1"/>
  <c r="G68" i="12"/>
  <c r="F247" i="10" s="1"/>
  <c r="E247" i="10"/>
  <c r="G76" i="12"/>
  <c r="F255" i="10" s="1"/>
  <c r="E255" i="10"/>
  <c r="D270" i="10"/>
  <c r="G91" i="12"/>
  <c r="F270" i="10" s="1"/>
  <c r="E276" i="10"/>
  <c r="G97" i="12"/>
  <c r="F276" i="10" s="1"/>
  <c r="G101" i="12"/>
  <c r="F280" i="10" s="1"/>
  <c r="E280" i="10"/>
  <c r="D215" i="10"/>
  <c r="G66" i="12"/>
  <c r="F245" i="10" s="1"/>
  <c r="E245" i="10"/>
  <c r="E259" i="10"/>
  <c r="G80" i="12"/>
  <c r="F259" i="10" s="1"/>
  <c r="G89" i="12"/>
  <c r="F268" i="10" s="1"/>
  <c r="E268" i="10"/>
  <c r="G94" i="12"/>
  <c r="F273" i="10" s="1"/>
  <c r="D273" i="10"/>
  <c r="G102" i="12"/>
  <c r="F281" i="10" s="1"/>
  <c r="E281" i="10"/>
  <c r="G104" i="12"/>
  <c r="F283" i="10" s="1"/>
  <c r="E283" i="10"/>
  <c r="E285" i="10"/>
  <c r="G106" i="12"/>
  <c r="F285" i="10" s="1"/>
  <c r="D221" i="10"/>
  <c r="G42" i="12"/>
  <c r="F221" i="10" s="1"/>
  <c r="E252" i="10"/>
  <c r="G73" i="12"/>
  <c r="F252" i="10" s="1"/>
  <c r="E253" i="10"/>
  <c r="G74" i="12"/>
  <c r="F253" i="10" s="1"/>
  <c r="E256" i="10"/>
  <c r="G77" i="12"/>
  <c r="F256" i="10" s="1"/>
  <c r="E260" i="10"/>
  <c r="G81" i="12"/>
  <c r="F260" i="10" s="1"/>
  <c r="G96" i="12"/>
  <c r="F275" i="10" s="1"/>
  <c r="D275" i="10"/>
  <c r="G95" i="12"/>
  <c r="F274" i="10" s="1"/>
  <c r="E274" i="10"/>
  <c r="E282" i="10"/>
  <c r="G103" i="12"/>
  <c r="F282" i="10" s="1"/>
  <c r="E284" i="10"/>
  <c r="G105" i="12"/>
  <c r="F284" i="10" s="1"/>
  <c r="E286" i="10"/>
  <c r="G107" i="12"/>
  <c r="F286" i="10" s="1"/>
  <c r="D227" i="10"/>
  <c r="E250" i="10"/>
  <c r="G71" i="12"/>
  <c r="F250" i="10" s="1"/>
  <c r="G93" i="12"/>
  <c r="F272" i="10" s="1"/>
  <c r="E272" i="10"/>
  <c r="G100" i="12"/>
  <c r="F279" i="10" s="1"/>
  <c r="E279" i="10"/>
  <c r="G115" i="12"/>
  <c r="F294" i="10" s="1"/>
  <c r="E294" i="10"/>
  <c r="G69" i="12"/>
  <c r="F248" i="10" s="1"/>
  <c r="E248" i="10"/>
  <c r="G70" i="12"/>
  <c r="F249" i="10" s="1"/>
  <c r="E249" i="10"/>
  <c r="G72" i="12"/>
  <c r="F251" i="10" s="1"/>
  <c r="E251" i="10"/>
  <c r="G78" i="12"/>
  <c r="F257" i="10" s="1"/>
  <c r="E257" i="10"/>
  <c r="G82" i="12"/>
  <c r="F261" i="10" s="1"/>
  <c r="E261" i="10"/>
  <c r="G85" i="12"/>
  <c r="F264" i="10" s="1"/>
  <c r="E264" i="10"/>
  <c r="D278" i="10"/>
  <c r="G99" i="12"/>
  <c r="F278" i="10" s="1"/>
  <c r="G110" i="12"/>
  <c r="F289" i="10" s="1"/>
  <c r="E289" i="10"/>
  <c r="D194" i="10"/>
  <c r="D228" i="10"/>
  <c r="I63" i="2"/>
  <c r="G103" i="17"/>
  <c r="G112" i="17" s="1"/>
  <c r="G113" i="17" s="1"/>
  <c r="F113" i="17"/>
  <c r="H113" i="17"/>
  <c r="F120" i="17" s="1"/>
  <c r="G120" i="17" s="1"/>
  <c r="F27" i="15"/>
  <c r="F316" i="15"/>
  <c r="F324" i="15"/>
  <c r="F323" i="15"/>
  <c r="F254" i="15"/>
  <c r="F189" i="15"/>
  <c r="E183" i="15"/>
  <c r="F175" i="15"/>
  <c r="F187" i="15" s="1"/>
  <c r="F164" i="15"/>
  <c r="F170" i="15" s="1"/>
  <c r="F166" i="15"/>
  <c r="F172" i="15" s="1"/>
  <c r="F178" i="15" s="1"/>
  <c r="F245" i="15" s="1"/>
  <c r="F329" i="15" s="1"/>
  <c r="F167" i="15"/>
  <c r="F173" i="15" s="1"/>
  <c r="F179" i="15" s="1"/>
  <c r="F191" i="15" s="1"/>
  <c r="F196" i="15" s="1"/>
  <c r="F163" i="15"/>
  <c r="F18" i="12"/>
  <c r="F57" i="15"/>
  <c r="F61" i="15" s="1"/>
  <c r="F56" i="15"/>
  <c r="F60" i="15" s="1"/>
  <c r="F57" i="12"/>
  <c r="F56" i="12"/>
  <c r="E235" i="10" s="1"/>
  <c r="F55" i="12"/>
  <c r="F49" i="12"/>
  <c r="E228" i="10" s="1"/>
  <c r="F51" i="12"/>
  <c r="F52" i="12"/>
  <c r="F47" i="12"/>
  <c r="F46" i="12"/>
  <c r="F45" i="12"/>
  <c r="F44" i="12"/>
  <c r="F43" i="12"/>
  <c r="F206" i="15"/>
  <c r="F40" i="12" s="1"/>
  <c r="F31" i="12"/>
  <c r="F30" i="12"/>
  <c r="F29" i="12"/>
  <c r="F28" i="12"/>
  <c r="F27" i="12"/>
  <c r="F26" i="12"/>
  <c r="F25" i="12"/>
  <c r="F20" i="12"/>
  <c r="F17" i="12"/>
  <c r="F62" i="15"/>
  <c r="F15" i="12" s="1"/>
  <c r="E194" i="10" s="1"/>
  <c r="F16" i="12"/>
  <c r="F12" i="12"/>
  <c r="F11" i="12"/>
  <c r="F10" i="12"/>
  <c r="F6" i="12"/>
  <c r="F5" i="12"/>
  <c r="F4" i="12"/>
  <c r="C60" i="12"/>
  <c r="B239" i="10" s="1"/>
  <c r="D60" i="12"/>
  <c r="C239" i="10" s="1"/>
  <c r="C61" i="12"/>
  <c r="B240" i="10" s="1"/>
  <c r="D61" i="12"/>
  <c r="C240" i="10" s="1"/>
  <c r="C62" i="12"/>
  <c r="B241" i="10" s="1"/>
  <c r="D62" i="12"/>
  <c r="C241" i="10" s="1"/>
  <c r="B62" i="12"/>
  <c r="B61" i="12"/>
  <c r="B60" i="12"/>
  <c r="C57" i="12"/>
  <c r="B236" i="10" s="1"/>
  <c r="D57" i="12"/>
  <c r="C236" i="10" s="1"/>
  <c r="C58" i="12"/>
  <c r="B237" i="10" s="1"/>
  <c r="D58" i="12"/>
  <c r="C237" i="10" s="1"/>
  <c r="C59" i="12"/>
  <c r="B238" i="10" s="1"/>
  <c r="D59" i="12"/>
  <c r="C238" i="10" s="1"/>
  <c r="B59" i="12"/>
  <c r="B58" i="12"/>
  <c r="B57" i="12"/>
  <c r="C54" i="12"/>
  <c r="B233" i="10" s="1"/>
  <c r="D54" i="12"/>
  <c r="C233" i="10" s="1"/>
  <c r="D55" i="12"/>
  <c r="C234" i="10" s="1"/>
  <c r="C56" i="12"/>
  <c r="B235" i="10" s="1"/>
  <c r="D56" i="12"/>
  <c r="C235" i="10" s="1"/>
  <c r="B56" i="12"/>
  <c r="B55" i="12"/>
  <c r="B54" i="12"/>
  <c r="C51" i="12"/>
  <c r="B230" i="10" s="1"/>
  <c r="D51" i="12"/>
  <c r="C230" i="10" s="1"/>
  <c r="C52" i="12"/>
  <c r="B231" i="10" s="1"/>
  <c r="D52" i="12"/>
  <c r="C231" i="10" s="1"/>
  <c r="C53" i="12"/>
  <c r="B232" i="10" s="1"/>
  <c r="D53" i="12"/>
  <c r="C232" i="10" s="1"/>
  <c r="B53" i="12"/>
  <c r="B52" i="12"/>
  <c r="B51" i="12"/>
  <c r="D44" i="12"/>
  <c r="C223" i="10" s="1"/>
  <c r="D45" i="12"/>
  <c r="C224" i="10" s="1"/>
  <c r="D46" i="12"/>
  <c r="C225" i="10" s="1"/>
  <c r="D47" i="12"/>
  <c r="C226" i="10" s="1"/>
  <c r="D48" i="12"/>
  <c r="C227" i="10" s="1"/>
  <c r="D49" i="12"/>
  <c r="C228" i="10" s="1"/>
  <c r="D50" i="12"/>
  <c r="C229" i="10" s="1"/>
  <c r="D18" i="12"/>
  <c r="C197" i="10" s="1"/>
  <c r="D20" i="12"/>
  <c r="C199" i="10" s="1"/>
  <c r="D21" i="12"/>
  <c r="C200" i="10" s="1"/>
  <c r="D24" i="12"/>
  <c r="C203" i="10" s="1"/>
  <c r="D25" i="12"/>
  <c r="C204" i="10" s="1"/>
  <c r="D26" i="12"/>
  <c r="C205" i="10" s="1"/>
  <c r="D27" i="12"/>
  <c r="C206" i="10" s="1"/>
  <c r="D28" i="12"/>
  <c r="C207" i="10" s="1"/>
  <c r="D29" i="12"/>
  <c r="C208" i="10" s="1"/>
  <c r="D30" i="12"/>
  <c r="C209" i="10" s="1"/>
  <c r="D31" i="12"/>
  <c r="C210" i="10" s="1"/>
  <c r="D32" i="12"/>
  <c r="C211" i="10" s="1"/>
  <c r="D33" i="12"/>
  <c r="C212" i="10" s="1"/>
  <c r="D34" i="12"/>
  <c r="C213" i="10" s="1"/>
  <c r="D35" i="12"/>
  <c r="C214" i="10" s="1"/>
  <c r="D36" i="12"/>
  <c r="C215" i="10" s="1"/>
  <c r="D37" i="12"/>
  <c r="C216" i="10" s="1"/>
  <c r="D38" i="12"/>
  <c r="C217" i="10" s="1"/>
  <c r="D39" i="12"/>
  <c r="C218" i="10" s="1"/>
  <c r="D40" i="12"/>
  <c r="C219" i="10" s="1"/>
  <c r="D42" i="12"/>
  <c r="C221" i="10" s="1"/>
  <c r="D43" i="12"/>
  <c r="C222" i="10" s="1"/>
  <c r="D5" i="12"/>
  <c r="C184" i="10" s="1"/>
  <c r="D6" i="12"/>
  <c r="C185" i="10" s="1"/>
  <c r="D7" i="12"/>
  <c r="C186" i="10" s="1"/>
  <c r="D8" i="12"/>
  <c r="C187" i="10" s="1"/>
  <c r="D9" i="12"/>
  <c r="C188" i="10" s="1"/>
  <c r="D10" i="12"/>
  <c r="C189" i="10" s="1"/>
  <c r="D11" i="12"/>
  <c r="C190" i="10" s="1"/>
  <c r="D12" i="12"/>
  <c r="C191" i="10" s="1"/>
  <c r="D13" i="12"/>
  <c r="C192" i="10" s="1"/>
  <c r="D14" i="12"/>
  <c r="C193" i="10" s="1"/>
  <c r="D15" i="12"/>
  <c r="C194" i="10" s="1"/>
  <c r="D16" i="12"/>
  <c r="C195" i="10" s="1"/>
  <c r="D17" i="12"/>
  <c r="C196" i="10" s="1"/>
  <c r="D4" i="12"/>
  <c r="C183" i="10" s="1"/>
  <c r="C47" i="12"/>
  <c r="B226" i="10" s="1"/>
  <c r="C48" i="12"/>
  <c r="B227" i="10" s="1"/>
  <c r="C49" i="12"/>
  <c r="B228" i="10" s="1"/>
  <c r="C50" i="12"/>
  <c r="B229" i="10" s="1"/>
  <c r="B50" i="12"/>
  <c r="B49" i="12"/>
  <c r="B48" i="12"/>
  <c r="B47" i="12"/>
  <c r="C43" i="12"/>
  <c r="B222" i="10" s="1"/>
  <c r="C44" i="12"/>
  <c r="B223" i="10" s="1"/>
  <c r="C45" i="12"/>
  <c r="B224" i="10" s="1"/>
  <c r="C46" i="12"/>
  <c r="B225" i="10" s="1"/>
  <c r="B46" i="12"/>
  <c r="B45" i="12"/>
  <c r="B44" i="12"/>
  <c r="B43" i="12"/>
  <c r="C37" i="12"/>
  <c r="B216" i="10" s="1"/>
  <c r="C38" i="12"/>
  <c r="B217" i="10" s="1"/>
  <c r="C39" i="12"/>
  <c r="B218" i="10" s="1"/>
  <c r="C40" i="12"/>
  <c r="B219" i="10" s="1"/>
  <c r="C42" i="12"/>
  <c r="B221" i="10" s="1"/>
  <c r="B42" i="12"/>
  <c r="B40" i="12"/>
  <c r="B39" i="12"/>
  <c r="B38" i="12"/>
  <c r="B37" i="12"/>
  <c r="C33" i="12"/>
  <c r="B212" i="10" s="1"/>
  <c r="C10" i="12"/>
  <c r="B189" i="10" s="1"/>
  <c r="C34" i="12"/>
  <c r="B213" i="10" s="1"/>
  <c r="C35" i="12"/>
  <c r="B214" i="10" s="1"/>
  <c r="C36" i="12"/>
  <c r="B215" i="10" s="1"/>
  <c r="B36" i="12"/>
  <c r="B35" i="12"/>
  <c r="B34" i="12"/>
  <c r="B33" i="12"/>
  <c r="C28" i="12"/>
  <c r="B207" i="10" s="1"/>
  <c r="C29" i="12"/>
  <c r="B208" i="10" s="1"/>
  <c r="C30" i="12"/>
  <c r="B209" i="10" s="1"/>
  <c r="C31" i="12"/>
  <c r="B210" i="10" s="1"/>
  <c r="C32" i="12"/>
  <c r="B211" i="10" s="1"/>
  <c r="B32" i="12"/>
  <c r="B31" i="12"/>
  <c r="B30" i="12"/>
  <c r="B29" i="12"/>
  <c r="B28" i="12"/>
  <c r="C25" i="12"/>
  <c r="B204" i="10" s="1"/>
  <c r="C26" i="12"/>
  <c r="B205" i="10" s="1"/>
  <c r="C27" i="12"/>
  <c r="B206" i="10" s="1"/>
  <c r="B27" i="12"/>
  <c r="B26" i="12"/>
  <c r="B25" i="12"/>
  <c r="C20" i="12"/>
  <c r="B199" i="10" s="1"/>
  <c r="C21" i="12"/>
  <c r="B200" i="10" s="1"/>
  <c r="C24" i="12"/>
  <c r="B203" i="10" s="1"/>
  <c r="B24" i="12"/>
  <c r="B21" i="12"/>
  <c r="B20" i="12"/>
  <c r="C14" i="12"/>
  <c r="B193" i="10" s="1"/>
  <c r="C15" i="12"/>
  <c r="B194" i="10" s="1"/>
  <c r="C16" i="12"/>
  <c r="B195" i="10" s="1"/>
  <c r="C17" i="12"/>
  <c r="B196" i="10" s="1"/>
  <c r="C18" i="12"/>
  <c r="B197" i="10" s="1"/>
  <c r="B17" i="12"/>
  <c r="B16" i="12"/>
  <c r="B15" i="12"/>
  <c r="B14" i="12"/>
  <c r="C13" i="12"/>
  <c r="B192" i="10" s="1"/>
  <c r="C12" i="12"/>
  <c r="B191" i="10" s="1"/>
  <c r="C11" i="12"/>
  <c r="B190" i="10" s="1"/>
  <c r="B13" i="12"/>
  <c r="B12" i="12"/>
  <c r="B11" i="12"/>
  <c r="B10" i="12"/>
  <c r="C9" i="12"/>
  <c r="B188" i="10" s="1"/>
  <c r="C8" i="12"/>
  <c r="B187" i="10" s="1"/>
  <c r="B9" i="12"/>
  <c r="B8" i="12"/>
  <c r="C7" i="12"/>
  <c r="B186" i="10" s="1"/>
  <c r="C6" i="12"/>
  <c r="B185" i="10" s="1"/>
  <c r="C5" i="12"/>
  <c r="B184" i="10" s="1"/>
  <c r="B7" i="12"/>
  <c r="B6" i="12"/>
  <c r="B5" i="12"/>
  <c r="C4" i="12"/>
  <c r="B183" i="10" s="1"/>
  <c r="B4" i="12"/>
  <c r="E329" i="15"/>
  <c r="E327" i="15"/>
  <c r="E325" i="15"/>
  <c r="G15" i="12" l="1"/>
  <c r="F194" i="10" s="1"/>
  <c r="F49" i="10"/>
  <c r="F163" i="10" s="1"/>
  <c r="F164" i="10" s="1"/>
  <c r="F165" i="10" s="1"/>
  <c r="G157" i="7"/>
  <c r="H21" i="20" s="1"/>
  <c r="G4" i="12"/>
  <c r="E183" i="10"/>
  <c r="E230" i="10"/>
  <c r="G51" i="12"/>
  <c r="F230" i="10" s="1"/>
  <c r="G20" i="12"/>
  <c r="F199" i="10" s="1"/>
  <c r="E199" i="10"/>
  <c r="G40" i="12"/>
  <c r="F219" i="10" s="1"/>
  <c r="E219" i="10"/>
  <c r="G6" i="12"/>
  <c r="F185" i="10" s="1"/>
  <c r="E185" i="10"/>
  <c r="E204" i="10"/>
  <c r="G25" i="12"/>
  <c r="F204" i="10" s="1"/>
  <c r="E222" i="10"/>
  <c r="G43" i="12"/>
  <c r="F222" i="10" s="1"/>
  <c r="G55" i="12"/>
  <c r="F234" i="10" s="1"/>
  <c r="E234" i="10"/>
  <c r="E189" i="10"/>
  <c r="G10" i="12"/>
  <c r="F189" i="10" s="1"/>
  <c r="G26" i="12"/>
  <c r="F205" i="10" s="1"/>
  <c r="E205" i="10"/>
  <c r="G44" i="12"/>
  <c r="F223" i="10" s="1"/>
  <c r="E223" i="10"/>
  <c r="E196" i="10"/>
  <c r="G17" i="12"/>
  <c r="F196" i="10" s="1"/>
  <c r="E190" i="10"/>
  <c r="G11" i="12"/>
  <c r="F190" i="10" s="1"/>
  <c r="G27" i="12"/>
  <c r="F206" i="10" s="1"/>
  <c r="E206" i="10"/>
  <c r="G45" i="12"/>
  <c r="F224" i="10" s="1"/>
  <c r="E224" i="10"/>
  <c r="E236" i="10"/>
  <c r="G57" i="12"/>
  <c r="F236" i="10" s="1"/>
  <c r="G12" i="12"/>
  <c r="F191" i="10" s="1"/>
  <c r="E191" i="10"/>
  <c r="G28" i="12"/>
  <c r="F207" i="10" s="1"/>
  <c r="E207" i="10"/>
  <c r="E225" i="10"/>
  <c r="G46" i="12"/>
  <c r="F225" i="10" s="1"/>
  <c r="G31" i="12"/>
  <c r="F210" i="10" s="1"/>
  <c r="E210" i="10"/>
  <c r="G5" i="12"/>
  <c r="F184" i="10" s="1"/>
  <c r="E184" i="10"/>
  <c r="G16" i="12"/>
  <c r="F195" i="10" s="1"/>
  <c r="E195" i="10"/>
  <c r="G29" i="12"/>
  <c r="F208" i="10" s="1"/>
  <c r="E208" i="10"/>
  <c r="G47" i="12"/>
  <c r="F226" i="10" s="1"/>
  <c r="E226" i="10"/>
  <c r="G49" i="12"/>
  <c r="F228" i="10" s="1"/>
  <c r="G30" i="12"/>
  <c r="F209" i="10" s="1"/>
  <c r="E209" i="10"/>
  <c r="G52" i="12"/>
  <c r="F231" i="10" s="1"/>
  <c r="E231" i="10"/>
  <c r="E197" i="10"/>
  <c r="G18" i="12"/>
  <c r="F197" i="10" s="1"/>
  <c r="G56" i="12"/>
  <c r="F235" i="10" s="1"/>
  <c r="F176" i="15"/>
  <c r="F182" i="15" s="1"/>
  <c r="F168" i="15"/>
  <c r="F33" i="12" s="1"/>
  <c r="G117" i="17"/>
  <c r="F5" i="20"/>
  <c r="G5" i="20" s="1"/>
  <c r="H5" i="20" s="1"/>
  <c r="F6" i="20"/>
  <c r="F117" i="17"/>
  <c r="F4" i="20"/>
  <c r="G4" i="20" s="1"/>
  <c r="H4" i="20" s="1"/>
  <c r="F321" i="15"/>
  <c r="F62" i="12" s="1"/>
  <c r="F118" i="15"/>
  <c r="F24" i="12" s="1"/>
  <c r="F200" i="15"/>
  <c r="F192" i="15"/>
  <c r="F37" i="12" s="1"/>
  <c r="F181" i="15"/>
  <c r="F21" i="12"/>
  <c r="F190" i="15"/>
  <c r="F184" i="15"/>
  <c r="F185" i="15"/>
  <c r="F162" i="15"/>
  <c r="F32" i="12" s="1"/>
  <c r="F58" i="15"/>
  <c r="F14" i="12" s="1"/>
  <c r="F54" i="15"/>
  <c r="F13" i="12" s="1"/>
  <c r="G6" i="20" l="1"/>
  <c r="H6" i="20" s="1"/>
  <c r="F183" i="10"/>
  <c r="G165" i="10"/>
  <c r="G21" i="20"/>
  <c r="G21" i="12"/>
  <c r="F200" i="10" s="1"/>
  <c r="E200" i="10"/>
  <c r="G13" i="12"/>
  <c r="F192" i="10" s="1"/>
  <c r="E192" i="10"/>
  <c r="G37" i="12"/>
  <c r="F216" i="10" s="1"/>
  <c r="E216" i="10"/>
  <c r="E193" i="10"/>
  <c r="G14" i="12"/>
  <c r="F193" i="10" s="1"/>
  <c r="G32" i="12"/>
  <c r="F211" i="10" s="1"/>
  <c r="E211" i="10"/>
  <c r="G24" i="12"/>
  <c r="F203" i="10" s="1"/>
  <c r="E203" i="10"/>
  <c r="E212" i="10"/>
  <c r="G33" i="12"/>
  <c r="F212" i="10" s="1"/>
  <c r="G62" i="12"/>
  <c r="F241" i="10" s="1"/>
  <c r="E241" i="10"/>
  <c r="F188" i="15"/>
  <c r="F186" i="15" s="1"/>
  <c r="F36" i="12" s="1"/>
  <c r="F174" i="15"/>
  <c r="F34" i="12" s="1"/>
  <c r="F205" i="15"/>
  <c r="F197" i="15"/>
  <c r="F38" i="12" s="1"/>
  <c r="F180" i="15"/>
  <c r="F35" i="12" s="1"/>
  <c r="E214" i="10" l="1"/>
  <c r="G35" i="12"/>
  <c r="F214" i="10" s="1"/>
  <c r="G38" i="12"/>
  <c r="F217" i="10" s="1"/>
  <c r="E217" i="10"/>
  <c r="G34" i="12"/>
  <c r="F213" i="10" s="1"/>
  <c r="E213" i="10"/>
  <c r="E215" i="10"/>
  <c r="G36" i="12"/>
  <c r="F215" i="10" s="1"/>
  <c r="F201" i="15"/>
  <c r="F39" i="12" s="1"/>
  <c r="F300" i="15"/>
  <c r="F246" i="15"/>
  <c r="F63" i="12"/>
  <c r="O32" i="16"/>
  <c r="O37" i="16" s="1"/>
  <c r="G119" i="12" s="1"/>
  <c r="N32" i="16"/>
  <c r="N37" i="16" s="1"/>
  <c r="G63" i="12" l="1"/>
  <c r="F242" i="10" s="1"/>
  <c r="E242" i="10"/>
  <c r="E218" i="10"/>
  <c r="G39" i="12"/>
  <c r="F218" i="10" s="1"/>
  <c r="F255" i="15"/>
  <c r="F244" i="15"/>
  <c r="F48" i="12" s="1"/>
  <c r="F297" i="15"/>
  <c r="F314" i="15"/>
  <c r="O9" i="16"/>
  <c r="O14" i="16" s="1"/>
  <c r="N9" i="16"/>
  <c r="N14" i="16" s="1"/>
  <c r="E227" i="10" l="1"/>
  <c r="G48" i="12"/>
  <c r="F227" i="10" s="1"/>
  <c r="F306" i="15"/>
  <c r="F303" i="15" s="1"/>
  <c r="F59" i="12" s="1"/>
  <c r="F308" i="15"/>
  <c r="F60" i="12" s="1"/>
  <c r="F274" i="15"/>
  <c r="F252" i="15"/>
  <c r="F50" i="12" s="1"/>
  <c r="G60" i="12" l="1"/>
  <c r="F239" i="10" s="1"/>
  <c r="E239" i="10"/>
  <c r="E229" i="10"/>
  <c r="G50" i="12"/>
  <c r="F229" i="10" s="1"/>
  <c r="G59" i="12"/>
  <c r="F238" i="10" s="1"/>
  <c r="E238" i="10"/>
  <c r="F279" i="15"/>
  <c r="F276" i="15" s="1"/>
  <c r="F54" i="12" s="1"/>
  <c r="F270" i="15"/>
  <c r="F53" i="12" s="1"/>
  <c r="G53" i="12" l="1"/>
  <c r="F232" i="10" s="1"/>
  <c r="E232" i="10"/>
  <c r="G54" i="12"/>
  <c r="F233" i="10" s="1"/>
  <c r="E233" i="10"/>
  <c r="F9" i="12"/>
  <c r="F58" i="12"/>
  <c r="F8" i="12"/>
  <c r="F7" i="12"/>
  <c r="E186" i="10" l="1"/>
  <c r="G7" i="12"/>
  <c r="G8" i="12"/>
  <c r="F187" i="10" s="1"/>
  <c r="E187" i="10"/>
  <c r="G9" i="12"/>
  <c r="F188" i="10" s="1"/>
  <c r="E188" i="10"/>
  <c r="G58" i="12"/>
  <c r="F237" i="10" s="1"/>
  <c r="E237" i="10"/>
  <c r="F61" i="12"/>
  <c r="F186" i="10" l="1"/>
  <c r="G61" i="12"/>
  <c r="F240" i="10" s="1"/>
  <c r="F297" i="10" s="1"/>
  <c r="F298" i="10" s="1"/>
  <c r="F299" i="10" s="1"/>
  <c r="E240" i="10"/>
  <c r="H181" i="10"/>
  <c r="M181" i="10"/>
  <c r="J181" i="10"/>
  <c r="L181" i="10"/>
  <c r="I181" i="10"/>
  <c r="K181" i="10"/>
  <c r="E69" i="2"/>
  <c r="E70" i="2"/>
  <c r="E71" i="2"/>
  <c r="E72" i="2"/>
  <c r="E73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8" i="2"/>
  <c r="E99" i="2"/>
  <c r="E100" i="2"/>
  <c r="E101" i="2"/>
  <c r="E102" i="2"/>
  <c r="E103" i="2"/>
  <c r="E104" i="2"/>
  <c r="E105" i="2"/>
  <c r="E108" i="2"/>
  <c r="E109" i="2"/>
  <c r="E110" i="2"/>
  <c r="E111" i="2"/>
  <c r="E112" i="2"/>
  <c r="E113" i="2"/>
  <c r="E115" i="2"/>
  <c r="E116" i="2"/>
  <c r="E117" i="2"/>
  <c r="E68" i="2"/>
  <c r="G120" i="12" l="1"/>
  <c r="H23" i="20" s="1"/>
  <c r="D28" i="20" s="1"/>
  <c r="E155" i="2"/>
  <c r="G299" i="10" l="1"/>
  <c r="E143" i="2"/>
  <c r="E142" i="2"/>
  <c r="H179" i="2"/>
  <c r="J87" i="17"/>
  <c r="F91" i="22"/>
  <c r="Q88" i="17"/>
  <c r="P88" i="17"/>
  <c r="O88" i="17"/>
  <c r="N88" i="17"/>
  <c r="L88" i="17"/>
  <c r="M88" i="17"/>
  <c r="K88" i="17"/>
  <c r="R88" i="17"/>
  <c r="S88" i="17"/>
  <c r="E144" i="2" l="1"/>
  <c r="F111" i="22"/>
  <c r="F93" i="22"/>
  <c r="Q90" i="17"/>
  <c r="P90" i="17"/>
  <c r="O90" i="17"/>
  <c r="N90" i="17"/>
  <c r="L90" i="17"/>
  <c r="L87" i="17"/>
  <c r="I87" i="17"/>
  <c r="K87" i="17"/>
  <c r="K90" i="17"/>
  <c r="M90" i="17"/>
  <c r="R90" i="17"/>
  <c r="S90" i="17"/>
  <c r="S89" i="17" l="1"/>
  <c r="S91" i="17" s="1"/>
  <c r="S111" i="17" s="1"/>
  <c r="K89" i="17"/>
  <c r="M89" i="17"/>
  <c r="M91" i="17" s="1"/>
  <c r="M93" i="17" s="1"/>
  <c r="M96" i="17" s="1"/>
  <c r="R89" i="17"/>
  <c r="R91" i="17" s="1"/>
  <c r="R111" i="17" s="1"/>
  <c r="L89" i="17"/>
  <c r="L91" i="17" s="1"/>
  <c r="Q89" i="17"/>
  <c r="Q91" i="17" s="1"/>
  <c r="P89" i="17"/>
  <c r="P91" i="17" s="1"/>
  <c r="N89" i="17"/>
  <c r="N91" i="17" s="1"/>
  <c r="O89" i="17"/>
  <c r="O91" i="17" s="1"/>
  <c r="O93" i="17" s="1"/>
  <c r="I91" i="17"/>
  <c r="K91" i="17"/>
  <c r="K111" i="17" s="1"/>
  <c r="J91" i="17"/>
  <c r="F96" i="22"/>
  <c r="F97" i="22" s="1"/>
  <c r="F98" i="22" s="1"/>
  <c r="F100" i="22" l="1"/>
  <c r="F101" i="22"/>
  <c r="F102" i="22"/>
  <c r="O111" i="17"/>
  <c r="N111" i="17"/>
  <c r="N93" i="17"/>
  <c r="I111" i="17"/>
  <c r="I93" i="17"/>
  <c r="Q111" i="17"/>
  <c r="Q93" i="17"/>
  <c r="P111" i="17"/>
  <c r="P93" i="17"/>
  <c r="J111" i="17"/>
  <c r="J93" i="17"/>
  <c r="O96" i="17"/>
  <c r="L111" i="17"/>
  <c r="L93" i="17"/>
  <c r="R93" i="17"/>
  <c r="R96" i="17" s="1"/>
  <c r="M111" i="17"/>
  <c r="S93" i="17"/>
  <c r="S96" i="17" s="1"/>
  <c r="K93" i="17"/>
  <c r="M97" i="17"/>
  <c r="M98" i="17" s="1"/>
  <c r="M101" i="17" s="1"/>
  <c r="F103" i="22" l="1"/>
  <c r="F112" i="22" s="1"/>
  <c r="F113" i="22" s="1"/>
  <c r="F117" i="22" s="1"/>
  <c r="F118" i="22" s="1"/>
  <c r="K96" i="17"/>
  <c r="K97" i="17" s="1"/>
  <c r="P96" i="17"/>
  <c r="P97" i="17" s="1"/>
  <c r="P98" i="17" s="1"/>
  <c r="Q96" i="17"/>
  <c r="Q97" i="17" s="1"/>
  <c r="Q98" i="17" s="1"/>
  <c r="O97" i="17"/>
  <c r="O98" i="17" s="1"/>
  <c r="I96" i="17"/>
  <c r="N96" i="17"/>
  <c r="L96" i="17"/>
  <c r="L97" i="17" s="1"/>
  <c r="L98" i="17" s="1"/>
  <c r="J96" i="17"/>
  <c r="R97" i="17"/>
  <c r="R98" i="17" s="1"/>
  <c r="R100" i="17" s="1"/>
  <c r="S97" i="17"/>
  <c r="S98" i="17" s="1"/>
  <c r="S100" i="17" s="1"/>
  <c r="M100" i="17"/>
  <c r="M102" i="17"/>
  <c r="F122" i="22" l="1"/>
  <c r="E7" i="10" s="1"/>
  <c r="K98" i="17"/>
  <c r="K100" i="17" s="1"/>
  <c r="S101" i="17"/>
  <c r="L100" i="17"/>
  <c r="L102" i="17"/>
  <c r="L101" i="17"/>
  <c r="O102" i="17"/>
  <c r="O100" i="17"/>
  <c r="O101" i="17"/>
  <c r="Q100" i="17"/>
  <c r="Q102" i="17"/>
  <c r="Q101" i="17"/>
  <c r="N97" i="17"/>
  <c r="N98" i="17" s="1"/>
  <c r="P100" i="17"/>
  <c r="P102" i="17"/>
  <c r="P101" i="17"/>
  <c r="S102" i="17"/>
  <c r="J97" i="17"/>
  <c r="I97" i="17"/>
  <c r="I98" i="17" s="1"/>
  <c r="R102" i="17"/>
  <c r="R101" i="17"/>
  <c r="M103" i="17"/>
  <c r="M112" i="17" s="1"/>
  <c r="F7" i="10" l="1"/>
  <c r="G7" i="10" s="1"/>
  <c r="E302" i="10" s="1"/>
  <c r="F19" i="20"/>
  <c r="L103" i="17"/>
  <c r="L112" i="17" s="1"/>
  <c r="L113" i="17" s="1"/>
  <c r="M113" i="17"/>
  <c r="K102" i="17"/>
  <c r="K101" i="17"/>
  <c r="O103" i="17"/>
  <c r="O112" i="17" s="1"/>
  <c r="P103" i="17"/>
  <c r="P112" i="17" s="1"/>
  <c r="S103" i="17"/>
  <c r="S112" i="17" s="1"/>
  <c r="Q103" i="17"/>
  <c r="Q112" i="17" s="1"/>
  <c r="I102" i="17"/>
  <c r="I100" i="17"/>
  <c r="I101" i="17"/>
  <c r="N100" i="17"/>
  <c r="N101" i="17"/>
  <c r="N102" i="17"/>
  <c r="J98" i="17"/>
  <c r="R103" i="17"/>
  <c r="R112" i="17" s="1"/>
  <c r="G19" i="20" l="1"/>
  <c r="H19" i="20" s="1"/>
  <c r="L117" i="17"/>
  <c r="F10" i="20"/>
  <c r="G10" i="20" s="1"/>
  <c r="H10" i="20" s="1"/>
  <c r="M117" i="17"/>
  <c r="F11" i="20"/>
  <c r="G11" i="20" s="1"/>
  <c r="H11" i="20" s="1"/>
  <c r="P113" i="17"/>
  <c r="O113" i="17"/>
  <c r="R113" i="17"/>
  <c r="Q113" i="17"/>
  <c r="S113" i="17"/>
  <c r="K103" i="17"/>
  <c r="K112" i="17" s="1"/>
  <c r="I103" i="17"/>
  <c r="I112" i="17" s="1"/>
  <c r="N103" i="17"/>
  <c r="N112" i="17" s="1"/>
  <c r="J102" i="17"/>
  <c r="J101" i="17"/>
  <c r="J100" i="17"/>
  <c r="G302" i="10" l="1"/>
  <c r="R117" i="17"/>
  <c r="F16" i="20"/>
  <c r="G16" i="20" s="1"/>
  <c r="H16" i="20" s="1"/>
  <c r="P117" i="17"/>
  <c r="F14" i="20"/>
  <c r="G14" i="20" s="1"/>
  <c r="H14" i="20" s="1"/>
  <c r="Q117" i="17"/>
  <c r="F15" i="20"/>
  <c r="G15" i="20" s="1"/>
  <c r="O117" i="17"/>
  <c r="F13" i="20"/>
  <c r="G13" i="20" s="1"/>
  <c r="H13" i="20" s="1"/>
  <c r="S117" i="17"/>
  <c r="F17" i="20"/>
  <c r="G17" i="20" s="1"/>
  <c r="H17" i="20" s="1"/>
  <c r="N113" i="17"/>
  <c r="K113" i="17"/>
  <c r="I113" i="17"/>
  <c r="J103" i="17"/>
  <c r="J112" i="17" s="1"/>
  <c r="H15" i="20" l="1"/>
  <c r="K117" i="17"/>
  <c r="F9" i="20"/>
  <c r="G9" i="20" s="1"/>
  <c r="H9" i="20" s="1"/>
  <c r="N117" i="17"/>
  <c r="F12" i="20"/>
  <c r="G12" i="20" s="1"/>
  <c r="H12" i="20" s="1"/>
  <c r="I117" i="17"/>
  <c r="F7" i="20"/>
  <c r="G7" i="20" s="1"/>
  <c r="J113" i="17"/>
  <c r="J117" i="17" l="1"/>
  <c r="F8" i="20"/>
  <c r="G8" i="20" s="1"/>
  <c r="H7" i="20"/>
  <c r="H8" i="20" l="1"/>
  <c r="H24" i="20" s="1"/>
  <c r="I17" i="20"/>
  <c r="G23" i="20"/>
  <c r="G24" i="20" s="1"/>
  <c r="D27" i="20" l="1"/>
  <c r="D29" i="20" s="1"/>
</calcChain>
</file>

<file path=xl/sharedStrings.xml><?xml version="1.0" encoding="utf-8"?>
<sst xmlns="http://schemas.openxmlformats.org/spreadsheetml/2006/main" count="4519" uniqueCount="1798">
  <si>
    <t>INSUMOS</t>
  </si>
  <si>
    <t>Descrição</t>
  </si>
  <si>
    <t>Quant Mensal</t>
  </si>
  <si>
    <t>unid</t>
  </si>
  <si>
    <t>Cotação de Preço</t>
  </si>
  <si>
    <t>Preço unitario médio</t>
  </si>
  <si>
    <t>Preço total</t>
  </si>
  <si>
    <t>lt</t>
  </si>
  <si>
    <t>Álcool</t>
  </si>
  <si>
    <t>Arames diversos</t>
  </si>
  <si>
    <t>kg</t>
  </si>
  <si>
    <t>Colas diversas (branca/madeira/contato)</t>
  </si>
  <si>
    <t>Cola instantanea</t>
  </si>
  <si>
    <t>Estopa</t>
  </si>
  <si>
    <t>m</t>
  </si>
  <si>
    <t>WD 40 500ml ou similar</t>
  </si>
  <si>
    <t>m²</t>
  </si>
  <si>
    <t>Pano para limpeza</t>
  </si>
  <si>
    <t>Parafusos, buchas, porcas e arruelas diversas</t>
  </si>
  <si>
    <t>Pregos em geral</t>
  </si>
  <si>
    <t>Removedor em pasta</t>
  </si>
  <si>
    <t xml:space="preserve">Balde </t>
  </si>
  <si>
    <t>Silicone de vedação</t>
  </si>
  <si>
    <t>Tinta acrílica lavável branca</t>
  </si>
  <si>
    <t>Fita zebrada</t>
  </si>
  <si>
    <t>rl</t>
  </si>
  <si>
    <t>CONECTOR FEMEA RJ - 45, CATEGORIA 6</t>
  </si>
  <si>
    <t>CONECTOR MACHO RJ - 45, CATEGORIA 6</t>
  </si>
  <si>
    <t>Valor total mensal estimado</t>
  </si>
  <si>
    <t>FERRAMENTAS/EQUIPAMENTOS</t>
  </si>
  <si>
    <t>Quantidade</t>
  </si>
  <si>
    <t>Sinapi</t>
  </si>
  <si>
    <t>Alicate de pressão 10</t>
  </si>
  <si>
    <t>Alicate cortador e desencapador de fio</t>
  </si>
  <si>
    <t>Alicate crimpador RJ11 e RJ45 com trava de catraca – rede</t>
  </si>
  <si>
    <t>Alicate para prensar terminais p/ fios e cabos 0,5 - 10mm</t>
  </si>
  <si>
    <t>Alicate bico de pagagaio</t>
  </si>
  <si>
    <t>Maleta p/ ferramentas grande com divisórias</t>
  </si>
  <si>
    <t>Chaves de grifo n° 10</t>
  </si>
  <si>
    <t>Chaves de grifo n° 14</t>
  </si>
  <si>
    <t>Escada de alumínio de 6 degraus</t>
  </si>
  <si>
    <t>Escada de alumínio de 10 degraus</t>
  </si>
  <si>
    <t>Estilete (cartucho com 10 lâminas)</t>
  </si>
  <si>
    <t>Jogo de broca de A/R 1/16" a /14" din wonder ou similar</t>
  </si>
  <si>
    <t>Parafusadeira elétrica</t>
  </si>
  <si>
    <t>Colher de pedreiro</t>
  </si>
  <si>
    <t>Desempenadeira de alumínio para aplicação de rejunte</t>
  </si>
  <si>
    <t>Enxada</t>
  </si>
  <si>
    <t>Nivel de bolha</t>
  </si>
  <si>
    <t>Lima chata</t>
  </si>
  <si>
    <t>Martelo</t>
  </si>
  <si>
    <t>Pincel</t>
  </si>
  <si>
    <t>Desentupidor de esgotos, pias, ralos e banheiras</t>
  </si>
  <si>
    <t>Serra mármore (tipo makita)</t>
  </si>
  <si>
    <t>Trena, 5m</t>
  </si>
  <si>
    <t>Trena a laser</t>
  </si>
  <si>
    <t>Ferro de solda ponta fina</t>
  </si>
  <si>
    <t>Rotulador / etiquetador eletronio, lcd, no minimo 16 caracteres e 2 linhas, para impressão em fita auto colante</t>
  </si>
  <si>
    <t>UNIFORMES</t>
  </si>
  <si>
    <t>Qtd anual</t>
  </si>
  <si>
    <t>Calça comprida tipo “jeans”</t>
  </si>
  <si>
    <t>Botina com sola de borracha</t>
  </si>
  <si>
    <t>Total anual</t>
  </si>
  <si>
    <t>Total mensal por funcionário</t>
  </si>
  <si>
    <t>EPI</t>
  </si>
  <si>
    <t>Qtd  anual</t>
  </si>
  <si>
    <t>Preço total
ANUAL</t>
  </si>
  <si>
    <t>Cinto de segurança</t>
  </si>
  <si>
    <t>Luva de proteção isolante</t>
  </si>
  <si>
    <t>Luva de raspa couro</t>
  </si>
  <si>
    <t>Luva tátil</t>
  </si>
  <si>
    <t>Óculos de proteção</t>
  </si>
  <si>
    <t>Protetor auricular tipo plug</t>
  </si>
  <si>
    <t>Mascara protetora poeira</t>
  </si>
  <si>
    <t>MANUTENÇÃO CORRETIVA</t>
  </si>
  <si>
    <t>PESQUISA DE PREÇO</t>
  </si>
  <si>
    <t>CÓDIGO
Sinapi</t>
  </si>
  <si>
    <t>ESPECIFICAÇÃO</t>
  </si>
  <si>
    <t>QTDE</t>
  </si>
  <si>
    <t>UNID</t>
  </si>
  <si>
    <t xml:space="preserve">Preço Unitário </t>
  </si>
  <si>
    <t>Preço Total</t>
  </si>
  <si>
    <t>TIPO</t>
  </si>
  <si>
    <t>2.1</t>
  </si>
  <si>
    <t>11696</t>
  </si>
  <si>
    <t>Cuba de sobrepor oval branca DECA L 65</t>
  </si>
  <si>
    <t>ARQUITETURA</t>
  </si>
  <si>
    <t>2.2</t>
  </si>
  <si>
    <t>10431</t>
  </si>
  <si>
    <t>Lavatório com coluna suspensa de louça branca deca modelo vogue plus L51 CS1v</t>
  </si>
  <si>
    <t>2.3</t>
  </si>
  <si>
    <t>20271</t>
  </si>
  <si>
    <t>Tanque grande branco com coluna Deca TQ03</t>
  </si>
  <si>
    <t>36796</t>
  </si>
  <si>
    <t xml:space="preserve">TORNEIRA CROMADA DE MESA PARA LAVATORIO TEMPORIZADA PRESSAO BICA BAIXA </t>
  </si>
  <si>
    <t>0377</t>
  </si>
  <si>
    <t>ASSENTO SANITARIO DE PLASTICO, TIPO CONVENCIONAL</t>
  </si>
  <si>
    <t>1747</t>
  </si>
  <si>
    <t>CUBA para cozinha retangular em AÇO INOX, 400 x 340 mm, com 170mm de profundidade</t>
  </si>
  <si>
    <t>11762</t>
  </si>
  <si>
    <t>Torneira cromada curta sem arejador ½” para jardim</t>
  </si>
  <si>
    <t>36792</t>
  </si>
  <si>
    <t>Torneira para tanque de parede Ref: Deca MAX 1153.C34</t>
  </si>
  <si>
    <t>11772</t>
  </si>
  <si>
    <t xml:space="preserve">Torneira copa e cozinha - DE MESA/BANCADA, PARA COZINHA, BICA MOVEL, COM AREJADOR, 1/2 " OU 3/4 </t>
  </si>
  <si>
    <t>SIFAO EM METAL CROMADO PARA PIA OU LAVATORIO, 1 X 1.1/2</t>
  </si>
  <si>
    <t>SIFAO EM METAL CROMADO PARA TANQUE, 1.1/4 X 1.1/2</t>
  </si>
  <si>
    <t>Mola hidráulica aérea para instalação em portas de madeira. Ref: Mola modelo MA 200, marca Dorma.</t>
  </si>
  <si>
    <t>pesquisa</t>
  </si>
  <si>
    <t>Caixa de comando Deca 1180 para torneiras automaticas de banheiro</t>
  </si>
  <si>
    <t>Caixa de comando caixa/sensor para mictório 2580 Deca</t>
  </si>
  <si>
    <t>Silicone de uso geral 280g</t>
  </si>
  <si>
    <t>orse 12729</t>
  </si>
  <si>
    <t>Piso tátil pinado, em ABS revestido de inox, 100pç por metro</t>
  </si>
  <si>
    <t>Conjunto de Fechadura cromada para porta interna de madeira, no padrão da existente, Lafonte ref 515</t>
  </si>
  <si>
    <t>Conjunto de Fechadura de porta de madeira preta ref La fonte 6521</t>
  </si>
  <si>
    <t>PLACA DE FIBRA MINERAL PARA FORRO, DE 625 X 625 MM, E = 15 MM</t>
  </si>
  <si>
    <t>Engate flexivel inox 1/2 x 40cm</t>
  </si>
  <si>
    <t>HIDRAULICA</t>
  </si>
  <si>
    <t>MERCADO</t>
  </si>
  <si>
    <t>BOMBAS RECALQUE - Ref: Dancor S.A. - Modelo: 10110630 630 T JM - Mod: PB 100 L2/NM – 5CV,  Norma - Nema MG1-18.614 - JM, Rotação: 2 polos - 3.450 rpm - 60 Hz, Trifásico: 220/380V, IP 55, isolamento classe B (ou similar)</t>
  </si>
  <si>
    <t>BOMBA PRESSURIZAÇÃO - Fabricante: Schneider Motobombas - BCR – 2000V 1CV mono 60Hz 220V - 3450rpm, Motor elétrico: IP-00 com capa de proteção, termostato e capacitor permanente, 2 Polos, 60 Hz - ou similar</t>
  </si>
  <si>
    <t>BOMBA CASCATA - Fabricante: Jacuzzi do Brasil - Modelo: 3DM1-T – 3CV - ou similar</t>
  </si>
  <si>
    <t>BOMBA FILTRO CASCATA - Fabricante: WEG - Bomba com pré filtro série APP - 1/2CV – 3470rpm – 60Hz, 2 polos – isolamento: F IP 21 - ou simlar</t>
  </si>
  <si>
    <t>BOMBA PARA ESGOTAMENTO DE POÇO DE ESGOTO. Referência: WEG jacaré 220/380V, 3CV, robusta- ou similar</t>
  </si>
  <si>
    <t>Bomba de esgotamento de poço de aguas pluviais, tipo sub dreno (SDE) 3hp, monobloco, vertical, carcaça com ralo de aspiração incorporado, motor com 2 polos, 3450rpm. Ref: Dancor 2303 - ou similar</t>
  </si>
  <si>
    <t>Botao de acionamento manual caixa acoplada Deca branco</t>
  </si>
  <si>
    <t>TAMPAO FOFO SIMPLES COM BASE, CLASSE A15 CARGA MAX 1,5 T, 400 X 600 MM (COM INSCRICAO EM RELEVO DO TIPO DE REDE)</t>
  </si>
  <si>
    <t>37527</t>
  </si>
  <si>
    <t>Mangueira 1 ½” 15m tipo 2</t>
  </si>
  <si>
    <t>INCÊNDIO</t>
  </si>
  <si>
    <t>Registro de gaveta bruto 2 1/2".</t>
  </si>
  <si>
    <t>Esguicho de neblina regulável, confeccionado em bronze ASTM-B-62. Diâmetro 1 1/2". Dotado de 3 posições: fechado, jato sólido e neblina fina</t>
  </si>
  <si>
    <t>Bicos de Sprinkler Ø 1/2", temp. 68ºC, tipo tubo molhado, conforme padrão existente no edifício</t>
  </si>
  <si>
    <t>Dobradiça porta corta fogo  no padrão das atuais</t>
  </si>
  <si>
    <t>Lâmpada LED bulbo 10W bivolt E27 branca 6000k</t>
  </si>
  <si>
    <t>ELETRICA</t>
  </si>
  <si>
    <t>Lâmpadas tubular led T5 18w 6500k 1200mm – Base G-13</t>
  </si>
  <si>
    <t>Superled ar-111 85-265v 11w refletora gu-10 6500k - base gu-10</t>
  </si>
  <si>
    <t>Lâmpada led ar-70 85-265v 7w refletora 6500k – base gu-10</t>
  </si>
  <si>
    <t>Lâmpada tubular led T8 9,5W 6500K 600MM (UL) – Base G13</t>
  </si>
  <si>
    <t>Lâmpada Tubular Led T8 18W 6500K 1200MM - Base G13 – vida útil de 3000horas – branco frio</t>
  </si>
  <si>
    <t>Lâmpada par38 led 15W branca</t>
  </si>
  <si>
    <t>Painéis de LED EMB. QD. 60X60 LISO 6000K 24W</t>
  </si>
  <si>
    <t>Luminária de embutir para jardim par 38 led</t>
  </si>
  <si>
    <t>Sinaleiro duplo 24 leds bivolt para sinalização de entrada e saída de garagem</t>
  </si>
  <si>
    <t xml:space="preserve">Válvula solenoide c/ rosca 3/4 </t>
  </si>
  <si>
    <t>Protetor contra surto modelo PQS 220 - DPS classe II/III com desacoplador térmico interno 15kA</t>
  </si>
  <si>
    <t>Sensor de presença bivolt, automático, de sobrepor, 500W, alcance mínimo de 10m, ângulo de atuação de 100º, ajuste de tempo e sensibilidade.</t>
  </si>
  <si>
    <t>39599</t>
  </si>
  <si>
    <t>Cabos UTP categoria 6E CSU-4P 4 pares Furukawa</t>
  </si>
  <si>
    <t>39601</t>
  </si>
  <si>
    <t>39603</t>
  </si>
  <si>
    <t>1014</t>
  </si>
  <si>
    <t>Cabo flexível 750v/70°C/nbr-6148  2,5mm²</t>
  </si>
  <si>
    <t>981</t>
  </si>
  <si>
    <t>Cabo flexível 750v/70°C/nbr-6148  4,0mm²</t>
  </si>
  <si>
    <t>34618</t>
  </si>
  <si>
    <t>Cabo PP 750v/70°C/nbr-7288 3x1,5mm²</t>
  </si>
  <si>
    <t>34621</t>
  </si>
  <si>
    <t>Cabo PP 750V/70º C/NBR 13249 3 x 4.0mm² PRYSMIAN</t>
  </si>
  <si>
    <t>1368</t>
  </si>
  <si>
    <t>39451</t>
  </si>
  <si>
    <t>Dipsositivo de proteção residual - DR Bipolar - 220V - 40A</t>
  </si>
  <si>
    <t>39452</t>
  </si>
  <si>
    <t>Dipsositivo de proteção residual - DR Bipolar - 220V - 63A</t>
  </si>
  <si>
    <t>2370</t>
  </si>
  <si>
    <t>Disjuntor SIEMENS DIN 20A</t>
  </si>
  <si>
    <t>2386</t>
  </si>
  <si>
    <t>Disjuntor SIEMENS DIN 40A</t>
  </si>
  <si>
    <t xml:space="preserve">Disjuntor Tripolar 100A </t>
  </si>
  <si>
    <t>38068</t>
  </si>
  <si>
    <t>Interruptor de embutir 10A, 250V, 1-S, com placa, Fame</t>
  </si>
  <si>
    <t>38081</t>
  </si>
  <si>
    <t>Interruptor de embutir 10A, 250V, 2-SS, com placa, Fame</t>
  </si>
  <si>
    <t>38101</t>
  </si>
  <si>
    <t>Tomada 2P+T de embutir ou sobrepor 10A ref. Pial ou equivalente</t>
  </si>
  <si>
    <t>38102</t>
  </si>
  <si>
    <t>Tomada 2P+T de embutir ou sobrepor 20A ref. Pial ou eequivalente</t>
  </si>
  <si>
    <t>4226</t>
  </si>
  <si>
    <t>Gás GLP - P45</t>
  </si>
  <si>
    <t>DIVERSOS</t>
  </si>
  <si>
    <t>VALOR ESTIMADO - 12 MESES</t>
  </si>
  <si>
    <t>BDI reduzido</t>
  </si>
  <si>
    <t>VALOR TOTAL ESTIMADO - 12 MESES</t>
  </si>
  <si>
    <t>SERVIÇOS EVENTUAIS</t>
  </si>
  <si>
    <t xml:space="preserve">Item </t>
  </si>
  <si>
    <t>CÓDIGO</t>
  </si>
  <si>
    <t>Unidade</t>
  </si>
  <si>
    <t>Quantidade estimada
anual</t>
  </si>
  <si>
    <t xml:space="preserve">BDI - </t>
  </si>
  <si>
    <t>Observações:</t>
  </si>
  <si>
    <t>1.      As quantidades previstas nessa planilha são meramente estimativas, que serão pagos à medida que forem executados, à medida que forem solicitados pela CONTRATANTE, a seu critério exclusivo.</t>
  </si>
  <si>
    <t>COMPOSIÇÕES DE PREÇO UNITÁRIO - CPU</t>
  </si>
  <si>
    <t>Cotação</t>
  </si>
  <si>
    <t>CLASSE/TIPO</t>
  </si>
  <si>
    <t>CÓDIGOS</t>
  </si>
  <si>
    <t>DESCRIÇÃO</t>
  </si>
  <si>
    <t>UNIDADE</t>
  </si>
  <si>
    <t>COEFICIENTE</t>
  </si>
  <si>
    <t>97632</t>
  </si>
  <si>
    <t>DEMOLIÇÃO DE RODAPÉ CERÂMICO, DE FORMA MANUAL, SEM REAPROVEITAMENTO</t>
  </si>
  <si>
    <t>M</t>
  </si>
  <si>
    <t/>
  </si>
  <si>
    <t>COMPOSICAO</t>
  </si>
  <si>
    <t>88256</t>
  </si>
  <si>
    <t>AZULEJISTA OU LADRILHISTA COM ENCARGOS COMPLEMENTARES</t>
  </si>
  <si>
    <t>H</t>
  </si>
  <si>
    <t>0,0293000</t>
  </si>
  <si>
    <t>88316</t>
  </si>
  <si>
    <t>SERVENTE COM ENCARGOS COMPLEMENTARES</t>
  </si>
  <si>
    <t>0,0825000</t>
  </si>
  <si>
    <t>97633</t>
  </si>
  <si>
    <t>DEMOLIÇÃO DE REVESTIMENTO CERÂMICO, DE FORMA MANUAL, SEM REAPROVEITAMENTO</t>
  </si>
  <si>
    <t>M2</t>
  </si>
  <si>
    <t>0,2553000</t>
  </si>
  <si>
    <t>0,7195000</t>
  </si>
  <si>
    <t xml:space="preserve">Revestimento de piso, tipo porcelanato - 1º subsolo - vestiarios, salas técnicas, etc </t>
  </si>
  <si>
    <t>INSUMO</t>
  </si>
  <si>
    <t>34357</t>
  </si>
  <si>
    <t>REJUNTE CIMENTICIO, QUALQUER COR</t>
  </si>
  <si>
    <t>KG</t>
  </si>
  <si>
    <t>0,1400000</t>
  </si>
  <si>
    <t>37595</t>
  </si>
  <si>
    <t>ARGAMASSA COLANTE TIPO AC III</t>
  </si>
  <si>
    <t>8,6200000</t>
  </si>
  <si>
    <t>38195</t>
  </si>
  <si>
    <t>PISO PORCELANATO, BORDA RETA, EXTRA, FORMATO MAIOR QUE 2025 CM2</t>
  </si>
  <si>
    <t>1,0800000</t>
  </si>
  <si>
    <t>0,7000000</t>
  </si>
  <si>
    <t>0,2700000</t>
  </si>
  <si>
    <t>Piso de granito dourado carioca flameado / polido</t>
  </si>
  <si>
    <t>Granito dourado carioca flameado / polido 60 x 60cm esp.20mm para piso</t>
  </si>
  <si>
    <t>1,1600000</t>
  </si>
  <si>
    <t>34356</t>
  </si>
  <si>
    <t>REJUNTE BRANCO, CIMENTICIO</t>
  </si>
  <si>
    <t>ARGAMASSA COLANTE TIPO ACIII</t>
  </si>
  <si>
    <t>88274</t>
  </si>
  <si>
    <t>MARMORISTA/GRANITEIRO COM ENCARGOS COMPLEMENTARES</t>
  </si>
  <si>
    <t>1,1880000</t>
  </si>
  <si>
    <t>0,5940000</t>
  </si>
  <si>
    <t>Piso de Granito BRANCO POLAR flameado / polido</t>
  </si>
  <si>
    <t>Granito BRANCO POLAR flameado / polido 60 x 60cm esp.20mm para piso</t>
  </si>
  <si>
    <t>PRÓPRIA</t>
  </si>
  <si>
    <t>Revestimento em placa vinílica de 50cm x 50cm - pavimento tipo</t>
  </si>
  <si>
    <t>4791</t>
  </si>
  <si>
    <t>ADESIVO ACRILICO/COLA DE CONTATO</t>
  </si>
  <si>
    <t>0,0950000</t>
  </si>
  <si>
    <t>placa vinílica autoportante - Piso vinílico em placas, na medida de 60cm x 60cm, heterogêneo, autoportante, destinado ao tráfego comercial pesado, 3mm espessura. REF Forbo modelo LF 5703S ou similar superior</t>
  </si>
  <si>
    <t>1,1100000</t>
  </si>
  <si>
    <t>88309</t>
  </si>
  <si>
    <t>PEDREIRO COM ENCARGOS COMPLEMENTARES</t>
  </si>
  <si>
    <t>0,2610000</t>
  </si>
  <si>
    <t>0,1300000</t>
  </si>
  <si>
    <t>95276</t>
  </si>
  <si>
    <t>POLIDORA DE PISO (POLITRIZ), PESO DE 100KG, DIÂMETRO 450 MM, MOTOR ELÉTRICO, POTÊNCIA 4 HP - CHP DIURNO. AF_09/2016</t>
  </si>
  <si>
    <t>CHP</t>
  </si>
  <si>
    <t>0,0250000</t>
  </si>
  <si>
    <t>95277</t>
  </si>
  <si>
    <t>POLIDORA DE PISO (POLITRIZ), PESO DE 100KG, DIÂMETRO 450 MM, MOTOR ELÉTRICO, POTÊNCIA 4 HP - CHI DIURNO. AF_09/2016</t>
  </si>
  <si>
    <t>CHI</t>
  </si>
  <si>
    <t>0,2360000</t>
  </si>
  <si>
    <t>102494</t>
  </si>
  <si>
    <t>PINTURA DE PISO COM TINTA EPÓXI, APLICAÇÃO MANUAL, 2 DEMÃOS, INCLUSO PRIMER EPÓXI.</t>
  </si>
  <si>
    <t>5330</t>
  </si>
  <si>
    <t>DILUENTE EPOXI</t>
  </si>
  <si>
    <t>L</t>
  </si>
  <si>
    <t>0,0640000</t>
  </si>
  <si>
    <t>7304</t>
  </si>
  <si>
    <t>TINTA EPOXI BASE AGUA PREMIUM, BRANCA</t>
  </si>
  <si>
    <t>0,3220000</t>
  </si>
  <si>
    <t>12815</t>
  </si>
  <si>
    <t>FITA CREPE ROLO DE 25 MM X 50 M</t>
  </si>
  <si>
    <t>UN</t>
  </si>
  <si>
    <t>0,0100000</t>
  </si>
  <si>
    <t>44072</t>
  </si>
  <si>
    <t>PRIMER EPOXI / EPOXIDICO</t>
  </si>
  <si>
    <t>0,2016000</t>
  </si>
  <si>
    <t>88310</t>
  </si>
  <si>
    <t>PINTOR COM ENCARGOS COMPLEMENTARES</t>
  </si>
  <si>
    <t>0,2750000</t>
  </si>
  <si>
    <t>0,1150000</t>
  </si>
  <si>
    <t>102496</t>
  </si>
  <si>
    <t>PINTURA DE RODAPÉ COM TINTA EPÓXI, APLICAÇÃO MANUAL, 2 DEMÃOS, INCLUSÃO PRIMER EPÓXI</t>
  </si>
  <si>
    <t>0,0110000</t>
  </si>
  <si>
    <t>0,0530000</t>
  </si>
  <si>
    <t>0,0200000</t>
  </si>
  <si>
    <t>0,0288000</t>
  </si>
  <si>
    <t>0,0540000</t>
  </si>
  <si>
    <t>102491</t>
  </si>
  <si>
    <t>PINTURA DE PISO COM TINTA ACRÍLICA, APLICAÇÃO MANUAL, 2 DEMÃOS, INCLUSO FUNDO PREPARADOR</t>
  </si>
  <si>
    <t>6085</t>
  </si>
  <si>
    <t>SELADOR ACRILICO OPACO PREMIUM INTERIOR/EXTERIOR</t>
  </si>
  <si>
    <t>0,1600000</t>
  </si>
  <si>
    <t>7348</t>
  </si>
  <si>
    <t>TINTA ACRILICA PREMIUM PARA PISO</t>
  </si>
  <si>
    <t>0,4270000</t>
  </si>
  <si>
    <t>PROPRIA</t>
  </si>
  <si>
    <t>RECUPERAÇÃO DE PISO ELEVADO</t>
  </si>
  <si>
    <t>39694</t>
  </si>
  <si>
    <t>PISO ELEVADO MONOLITICO INCLUINDO FORMA DE MATERIAL DE ENCHIMENTO. Referênca. Werden</t>
  </si>
  <si>
    <t>1,0000000</t>
  </si>
  <si>
    <t>0,4090000</t>
  </si>
  <si>
    <t>0,2040000</t>
  </si>
  <si>
    <t>PISO EM CARPETE - Plenário - inluindo retirada do anterior</t>
  </si>
  <si>
    <t>PLACA DE CARPETE azul</t>
  </si>
  <si>
    <t>Execução de junta de dilatação com selante elástico monocomponente a base de poliuretano 1x1cm</t>
  </si>
  <si>
    <t>JUNTA DE DILATAÇÃO, COM TARUGO DE POLIETILENO E SELANTE PU, INCLUSO PREENCHIMENTO COM ESPUMA EXPANSIVA</t>
  </si>
  <si>
    <t>98577</t>
  </si>
  <si>
    <t>TRATAMENTO DE JUNTA SERRADA, COM TARUGO DE POLIETILENO E SELANTE À BASE DE SILICONE</t>
  </si>
  <si>
    <t>43142</t>
  </si>
  <si>
    <t>SELANTE MONOCOMPONENTE A BASE DE SILICONE DE BAIXO MODULO, PARA JUNTAS DE PAVIMENTACAO</t>
  </si>
  <si>
    <t>0,0648000</t>
  </si>
  <si>
    <t>44073</t>
  </si>
  <si>
    <t>TARUGO DELIMITADOR DE PROFUNDIDADE EM ESPUMA DE POLIETILENO DE BAIXA DENSIDADE 10 MM, CINZA</t>
  </si>
  <si>
    <t>1,1650000</t>
  </si>
  <si>
    <t>PISO PODOTÁTIL DE ALERTA OU DIRECIONAL, DE BORRACHA, ASSENTADO SOBRE ARGAMASSA</t>
  </si>
  <si>
    <t>1379</t>
  </si>
  <si>
    <t>CIMENTO PORTLAND COMPOSTO CP II-32</t>
  </si>
  <si>
    <t>0,2400000</t>
  </si>
  <si>
    <t>1,2150000</t>
  </si>
  <si>
    <t>38186</t>
  </si>
  <si>
    <t>PISO TATIL DE ALERTA OU DIRECIONAL, DE BORRACHA, COLORIDO, 25 X 25 CM, E = 12 MM, PARA ARGAMASSA</t>
  </si>
  <si>
    <t>0,2500000</t>
  </si>
  <si>
    <t>0,4370000</t>
  </si>
  <si>
    <t>0,2180000</t>
  </si>
  <si>
    <t>AJUDANTE ESPECIALIZADO COM ENCARGOS COMPLEMENTARES</t>
  </si>
  <si>
    <t>IMPERMEABILIZADOR COM ENCARGOS COMPLEMENTARES</t>
  </si>
  <si>
    <t>96114</t>
  </si>
  <si>
    <t>FORRO EM DRYWALL, PARA AMBIENTES COMERCIAIS, INCLUSIVE ESTRUTURA DE FIXAÇÃO</t>
  </si>
  <si>
    <t>335</t>
  </si>
  <si>
    <t>ARAME GALVANIZADO 10 BWG, 3,40 MM (0,0713 KG/M)</t>
  </si>
  <si>
    <t>0,0426000</t>
  </si>
  <si>
    <t>39413</t>
  </si>
  <si>
    <t>CHAPA DE GESSO ACARTONADO, STANDARD (ST), COR BRANCA, E = 12,5 MM, 1200 X 2400 MM (L X C)</t>
  </si>
  <si>
    <t>1,0966000</t>
  </si>
  <si>
    <t>39427</t>
  </si>
  <si>
    <t>PERFIL CANALETA, FORMATO C, EM ACO ZINCADO, PARA ESTRUTURA FORRO DRYWALL, E = 0,5 MM, *46 X 18* (L X H), COMPRIMENTO 3 M</t>
  </si>
  <si>
    <t>3,8510000</t>
  </si>
  <si>
    <t>39430</t>
  </si>
  <si>
    <t>PENDURAL OU PRESILHA REGULADORA, EM ACO GALVANIZADO, COM CORPO, MOLA E REBITE, PARA PERFIL TIPO CANALETA DE ESTRUTURA EM FORROS DRYWALL</t>
  </si>
  <si>
    <t>1,3265000</t>
  </si>
  <si>
    <t>39432</t>
  </si>
  <si>
    <t>FITA DE PAPEL REFORCADA COM LAMINA DE METAL PARA REFORCO DE CANTOS DE CHAPA DE GESSO PARA DRYWALL</t>
  </si>
  <si>
    <t>1,4395000</t>
  </si>
  <si>
    <t>39434</t>
  </si>
  <si>
    <t>MASSA DE REJUNTE EM PO PARA DRYWALL, A BASE DE GESSO, SECAGEM RAPIDA, PARA TRATAMENTO DE JUNTAS DE CHAPA DE GESSO (COM ADICAO DE AGUA)</t>
  </si>
  <si>
    <t>0,5202000</t>
  </si>
  <si>
    <t>39435</t>
  </si>
  <si>
    <t>PARAFUSO DRY WALL, EM ACO FOSFATIZADO, CABECA TROMBETA E PONTA AGULHA (TA), COMPRIMENTO 25 MM</t>
  </si>
  <si>
    <t>7,9740000</t>
  </si>
  <si>
    <t>39443</t>
  </si>
  <si>
    <t>PARAFUSO DRY WALL, EM ACO ZINCADO, CABECA LENTILHA E PONTA BROCA (LB), LARGURA 4,2 MM, COMPRIMENTO 13 MM</t>
  </si>
  <si>
    <t>2,1912000</t>
  </si>
  <si>
    <t>40547</t>
  </si>
  <si>
    <t>PARAFUSO ZINCADO, AUTOBROCANTE, FLANGEADO, 4,2 X 19"</t>
  </si>
  <si>
    <t>CENTO</t>
  </si>
  <si>
    <t>0,0132000</t>
  </si>
  <si>
    <t>88278</t>
  </si>
  <si>
    <t>MONTADOR DE ESTRUTURA METÁLICA COM ENCARGOS COMPLEMENTARES</t>
  </si>
  <si>
    <t>0,3628000</t>
  </si>
  <si>
    <t>FORRO EM RÉGUAS DE PVC, FRISADO, PARA AMBIENTES COMERCIAIS, INCLUSIVE ESTRUTURA DE FIXAÇÃO</t>
  </si>
  <si>
    <t>36238</t>
  </si>
  <si>
    <t>FORRO DE PVC, FRISADO, BRANCO, REGUA DE 20 CM, ESPESSURA DE 8 MM A 10 MM E COMPRIMENTO 6 M (SEM COLOCACAO)</t>
  </si>
  <si>
    <t>1,0956000</t>
  </si>
  <si>
    <t>3,8499000</t>
  </si>
  <si>
    <t>PARAFUSO ZINCADO, AUTOBROCANTE, FLANGEADO, 4,2 MM X 19 MM</t>
  </si>
  <si>
    <t>40552</t>
  </si>
  <si>
    <t>PARAFUSO, AUTO ATARRACHANTE, CABECA CHATA, FENDA SIMPLES, 1/4 (6,35 MM) X 25 MM</t>
  </si>
  <si>
    <t>0,0333000</t>
  </si>
  <si>
    <t>43131</t>
  </si>
  <si>
    <t>ARAME GALVANIZADO 6 BWG, D = 5,16 MM (0,157 KG/M), OU 8 BWG, D = 4,19 MM (0,101 KG/M), OU 10 BWG, D = 3,40 MM (0,0713 KG/M)</t>
  </si>
  <si>
    <t>0,4994000</t>
  </si>
  <si>
    <t>ACABAMENTOS PARA FORRO (RODA-FORRO EM PERFIL METÁLICO E PLÁSTICO)</t>
  </si>
  <si>
    <t>36246</t>
  </si>
  <si>
    <t>ACABAMENTO SIMPLES/CONVENCIONAL PARA FORRO PVC, TIPO "U" OU "C", COR BRANCA, COMPRIMENTO 6 M</t>
  </si>
  <si>
    <t>1,1512000</t>
  </si>
  <si>
    <t>0,5833000</t>
  </si>
  <si>
    <t>0,0749000</t>
  </si>
  <si>
    <t>0,1468000</t>
  </si>
  <si>
    <t>AJUSTES E RECOLOCACO DE FORROS EM LAMBRIL DE MADEIRA DO REFEITÓRIO, CONSIDERANDO REAPROVEITAMENTO DO MATERIAL</t>
  </si>
  <si>
    <t>COLA BRANCA</t>
  </si>
  <si>
    <t>88261</t>
  </si>
  <si>
    <t>CARPINTEIRO DE ESQUADRIA COM ENCARGOS COMPLEMENTARES</t>
  </si>
  <si>
    <t>Parede de dry-wall - instalada (interna, guia simples, sem vão)</t>
  </si>
  <si>
    <t>37586</t>
  </si>
  <si>
    <t>PINO DE ACO COM ARRUELA CONICA, DIAMETRO ARRUELA = *23* MM E COMP HASTE = *27* MM (ACAO INDIRETA)</t>
  </si>
  <si>
    <t>0,0243000</t>
  </si>
  <si>
    <t>2,1060000</t>
  </si>
  <si>
    <t>39419</t>
  </si>
  <si>
    <t>PERFIL GUIA, FORMATO U, EM ACO ZINCADO, PARA ESTRUTURA PAREDE DRYWALL, E = 0,5 MM, 70 X 3000 MM (L X C)</t>
  </si>
  <si>
    <t>0,7604000</t>
  </si>
  <si>
    <t>39422</t>
  </si>
  <si>
    <t>PERFIL MONTANTE, FORMATO C, EM ACO ZINCADO, PARA ESTRUTURA PAREDE DRYWALL, E = 0,5 MM, 70 X 3000 MM (L X C)</t>
  </si>
  <si>
    <t>1,9910000</t>
  </si>
  <si>
    <t>39431</t>
  </si>
  <si>
    <t>FITA DE PAPEL MICROPERFURADO, 50 X 150 MM, PARA TRATAMENTO DE JUNTAS DE CHAPA DE GESSO PARA DRYWALL</t>
  </si>
  <si>
    <t>2,5027000</t>
  </si>
  <si>
    <t>0,7407000</t>
  </si>
  <si>
    <t>1,0327000</t>
  </si>
  <si>
    <t>20,0077000</t>
  </si>
  <si>
    <t>0,8076000</t>
  </si>
  <si>
    <t>0,5449000</t>
  </si>
  <si>
    <t>0,1362000</t>
  </si>
  <si>
    <t>88431</t>
  </si>
  <si>
    <t>APLICAÇÃO MANUAL DE PINTURA COM TINTA TEXTURIZADA ACRÍLICA EM PAREDES EXTERNAS, MURETAS E JARDINEIRAS</t>
  </si>
  <si>
    <t>38877</t>
  </si>
  <si>
    <t>MASSA PARA TEXTURA LISA DE BASE ACRILICA, USO INTERNO E EXTERNO</t>
  </si>
  <si>
    <t>1,9380000</t>
  </si>
  <si>
    <t>0,3030000</t>
  </si>
  <si>
    <t>0,0760000</t>
  </si>
  <si>
    <t>88496</t>
  </si>
  <si>
    <t>APLICAÇÃO E LIXAMENTO DE MASSA LÁTEX EM TETO, DUAS DEMÃOS.</t>
  </si>
  <si>
    <t>3767</t>
  </si>
  <si>
    <t>LIXA EM FOLHA PARA PAREDE OU MADEIRA, NUMERO 120 (COR VERMELHA)</t>
  </si>
  <si>
    <t>0,1000000</t>
  </si>
  <si>
    <t>4051</t>
  </si>
  <si>
    <t>MASSA CORRIDA PVA PARA PAREDES INTERNAS</t>
  </si>
  <si>
    <t>18L</t>
  </si>
  <si>
    <t>0,0489000</t>
  </si>
  <si>
    <t>0,6720000</t>
  </si>
  <si>
    <t>0,2470000</t>
  </si>
  <si>
    <t>88497</t>
  </si>
  <si>
    <t>APLICAÇÃO E LIXAMENTO DE MASSA LÁTEX EM PAREDES, DUAS DEMÃOS.</t>
  </si>
  <si>
    <t>0,3120000</t>
  </si>
  <si>
    <t>0,1140000</t>
  </si>
  <si>
    <t>88488</t>
  </si>
  <si>
    <t>APLICAÇÃO MANUAL DE PINTURA COM TINTA LÁTEX ACRÍLICA EM TETO, DUAS DEMÃOS.</t>
  </si>
  <si>
    <t>7356</t>
  </si>
  <si>
    <t>TINTA ACRILICA PREMIUM, COR BRANCO FOSCO</t>
  </si>
  <si>
    <t>0,3300000</t>
  </si>
  <si>
    <t>0,2440000</t>
  </si>
  <si>
    <t>0,0890000</t>
  </si>
  <si>
    <t>88489</t>
  </si>
  <si>
    <t>APLICAÇÃO MANUAL DE PINTURA COM TINTA LÁTEX ACRÍLICA EM PAREDES, DUAS DEMÃOS.</t>
  </si>
  <si>
    <t>TINTA ACRILICA PREMIUM LAVAVEL, COR BRANCO FOSCO</t>
  </si>
  <si>
    <t>0,1870000</t>
  </si>
  <si>
    <t>0,0690000</t>
  </si>
  <si>
    <t>PINTURA ESMALTE ACETINADO EM MADEIRA, DUAS DEMAOS COM LIXAMENTO</t>
  </si>
  <si>
    <t>0,4000000</t>
  </si>
  <si>
    <t>5318</t>
  </si>
  <si>
    <t>SOLVENTE DILUENTE A BASE DE AGUARRAS</t>
  </si>
  <si>
    <t>0,0400000</t>
  </si>
  <si>
    <t>7311</t>
  </si>
  <si>
    <t>TINTA ESMALTE SINTETICO PREMIUM ACETINADO</t>
  </si>
  <si>
    <t>0,2000000</t>
  </si>
  <si>
    <t>VERNIZ SINTETICO EM MADEIRA, 3 DEMAOS, incolor, COM LIXAMENTO</t>
  </si>
  <si>
    <t>0,0468000</t>
  </si>
  <si>
    <t>10475</t>
  </si>
  <si>
    <t>VERNIZ MARITIMO PREMIUM PARA MADEIRA, COM FILTRO SOLAR, BRILHANTE, USO INTERNO E EXTERNO</t>
  </si>
  <si>
    <t>0,3000000</t>
  </si>
  <si>
    <t>PINTURA COM TINTA PROTETORA ACABAMENTO GRAFITE ESMALTE SOBRE SUPERFICIE METALICA, 2 DEMAOS</t>
  </si>
  <si>
    <t>3768</t>
  </si>
  <si>
    <t>LIXA EM FOLHA PARA FERRO, NUMERO 150</t>
  </si>
  <si>
    <t>0,0500000</t>
  </si>
  <si>
    <t>7293</t>
  </si>
  <si>
    <t>TINTA ESMALTE SINTETICO GRAFITE COM PROTECAO PARA METAIS FERROSOS</t>
  </si>
  <si>
    <t>0,1200000</t>
  </si>
  <si>
    <t>0,8000000</t>
  </si>
  <si>
    <t>PINTURA ESMALTE ACETINADO, DUAS DEMAOS, SOBRE SUPERFICIE METALICA - VIGAS METALICAS INTERNAS</t>
  </si>
  <si>
    <t>0,6000000</t>
  </si>
  <si>
    <t>0,0700000</t>
  </si>
  <si>
    <t>TINTA ESMALTE SINTETICO PREMIUM ACETINADO BRANCO</t>
  </si>
  <si>
    <t>0,5000000</t>
  </si>
  <si>
    <t>FUNDO PREPARADOR PRIMER SINTETICO, PARA ESTRUTURA METALICA, UMA DEMÃO, ESPESSURA DE 25 MICRA</t>
  </si>
  <si>
    <t>FUNDO ANTICORROSIVO TIPO ZARCAO</t>
  </si>
  <si>
    <t>0,0800000</t>
  </si>
  <si>
    <t>PINTURA DE BATE RODAS INSTALADOS NOS SUBSOLOS</t>
  </si>
  <si>
    <t>TINTA ESMALTE SINTETICO PREMIUM ACETINADO AMARELA</t>
  </si>
  <si>
    <t>COLA A BASE DE RESINA SINTETICA PARA CHAPA DE LAMINADO MELAMINICO</t>
  </si>
  <si>
    <t>0,9000000</t>
  </si>
  <si>
    <t>CHAPA DE LAMINADO MELAMINICO E = 0,8 MM</t>
  </si>
  <si>
    <t>1,0500000</t>
  </si>
  <si>
    <t>0,1800000</t>
  </si>
  <si>
    <t>0,7800000</t>
  </si>
  <si>
    <t>CANTONEIRA DE ALUMINIO 1"X1, PARA PROTECAO DE QUINA DE PAREDE</t>
  </si>
  <si>
    <t>586</t>
  </si>
  <si>
    <t>CANTONEIRA ALUMINIO ABAS IGUAIS 1 ", E = 3 /16 "</t>
  </si>
  <si>
    <t>ISOLAMENTO TERMICO COM MANTA DE LA DE VIDRO, ESPESSURA 2,5CM</t>
  </si>
  <si>
    <t>509</t>
  </si>
  <si>
    <t>ASFALTO MODIFICADO TIPO III - NBR 9910 (ASFALTO OXIDADO PARA IMPERMEABILIZACAO, COEFICIENTE DE PENETRACAO 15-25)</t>
  </si>
  <si>
    <t>3,0000000</t>
  </si>
  <si>
    <t>3412</t>
  </si>
  <si>
    <t>PAINEL DE LA DE VIDRO SEM REVESTIMENTO PSI 20, E = 25 MM, DE 1200 X 600 MM</t>
  </si>
  <si>
    <t>88270</t>
  </si>
  <si>
    <t>Persiana horizontal em alumínio branca ou cinza 16mm</t>
  </si>
  <si>
    <t>ALIZAR / GUARNIÇÃO DE 5X1,5CM PARA PORTA DE 60X210CM FIXADO COM PREGOS, PADRÃO MÉDIO - FORNECIMENTO E INSTALAÇÃO.</t>
  </si>
  <si>
    <t>20017</t>
  </si>
  <si>
    <t>GUARNICAO / ALIZAR / VISTA LISA EM MADEIRA MACICA, PARA PORTA  , E = *1* CM, L = *5* CM, CEDRINHO / ANGELIM COMERCIAL / TAURI/ CURUPIXA / PEROBA / CUMARU OU EQUIVALENTE DA REGIAO</t>
  </si>
  <si>
    <t>1,1630000</t>
  </si>
  <si>
    <t>39026</t>
  </si>
  <si>
    <t>PREGO DE ACO POLIDO SEM CABECA 15 X 15 (1 1/4 X 13)</t>
  </si>
  <si>
    <t>0,0060000</t>
  </si>
  <si>
    <t>0,0680000</t>
  </si>
  <si>
    <t>0,0340000</t>
  </si>
  <si>
    <t>90823</t>
  </si>
  <si>
    <t>PORTA DE MADEIRA PARA PINTURA, SEMI-OCA (LEVE OU MÉDIA), 90X210CM, ESPESSURA DE 3,5CM, INCLUSO DOBRADIÇAS - FORNECIMENTO E INSTALAÇÃO.</t>
  </si>
  <si>
    <t>2432</t>
  </si>
  <si>
    <t>DOBRADICA EM ACO/FERRO, 3 1/2" X  3", E= 1,9  A 2 MM, COM ANEL,  CROMADO OU ZINCADO, TAMPA BOLA, COM PARAFUSOS</t>
  </si>
  <si>
    <t>10556</t>
  </si>
  <si>
    <t>PORTA DE MADEIRA, FOLHA MEDIA (NBR 15930) DE 90 X 210 CM, E = 35 MM, NUCLEO SARRAFEADO, CAPA LISA EM HDF, ACABAMENTO EM PRIMER PARA PINTURA</t>
  </si>
  <si>
    <t>11055</t>
  </si>
  <si>
    <t>PARAFUSO ROSCA SOBERBA ZINCADO CABECA CHATA FENDA SIMPLES 3,5 X 25 MM (1 ")</t>
  </si>
  <si>
    <t>19,8000000</t>
  </si>
  <si>
    <t>1,6780000</t>
  </si>
  <si>
    <t>0,8390000</t>
  </si>
  <si>
    <t>PORTA EM ALUMÍNIO DE ABRIR TIPO VENEZIANA COM GUARNIÇÃO, FIXAÇÃO COM PARAFUSOS, FORNECIMENTO E INSTALAÇÃO</t>
  </si>
  <si>
    <t>142</t>
  </si>
  <si>
    <t>SELANTE ELASTICO MONOCOMPONENTE A BASE DE POLIURETANO (PU) PARA JUNTAS DIVERSAS</t>
  </si>
  <si>
    <t>310ML</t>
  </si>
  <si>
    <t>0,8829000</t>
  </si>
  <si>
    <t>7568</t>
  </si>
  <si>
    <t>BUCHA DE NYLON SEM ABA S10, COM PARAFUSO DE 6,10 X 65 MM EM ACO ZINCADO COM ROSCA SOBERBA, CABECA CHATA E FENDA PHILLIPS</t>
  </si>
  <si>
    <t>4,8166000</t>
  </si>
  <si>
    <t>36888</t>
  </si>
  <si>
    <t>GUARNICAO / MOLDURA / ARREMATE DE ACABAMENTO PARA ESQUADRIA, EM ALUMINIO PERFIL 25, ACABAMENTO ANODIZADO BRANCO OU BRILHANTE, PARA 1 FACE</t>
  </si>
  <si>
    <t>6,8504000</t>
  </si>
  <si>
    <t>39025</t>
  </si>
  <si>
    <t>PORTA DE ABRIR EM ALUMINIO TIPO VENEZIANA, ACABAMENTO ANODIZADO NATURAL, SEM GUARNICAO/ALIZAR/VISTA, 87 X 210 CM</t>
  </si>
  <si>
    <t>0,5473000</t>
  </si>
  <si>
    <t>0,3826000</t>
  </si>
  <si>
    <t>0,1910000</t>
  </si>
  <si>
    <t>90838</t>
  </si>
  <si>
    <t>PORTA CORTA-FOGO 90X210X4CM - FORNECIMENTO E INSTALAÇÃO</t>
  </si>
  <si>
    <t>11154</t>
  </si>
  <si>
    <t>PORTA CORTA-FOGO PARA SAIDA DE EMERGENCIA, COM FECHADURA, VAO LUZ DE 90 X 210 CM, CLASSE P-90 (NBR 11742)</t>
  </si>
  <si>
    <t>3,4640000</t>
  </si>
  <si>
    <t>1,7320000</t>
  </si>
  <si>
    <t>88629</t>
  </si>
  <si>
    <t>ARGAMASSA TRAÇO 1:3 (CIMENTO E AREIA MÉDIA), PREPARO MANUAL</t>
  </si>
  <si>
    <t>M3</t>
  </si>
  <si>
    <t>0,0422000</t>
  </si>
  <si>
    <t>90844</t>
  </si>
  <si>
    <t>KIT DE PORTA DE MADEIRA PARA PINTURA, SEMI-OCA (LEVE OU MÉDIA), PADRÃO MÉDIO, 90X210CM, ESPESSURA DE 3,5CM, ITENS INCLUSOS: DOBRADIÇAS, MONTAGEM E INSTALAÇÃO DO BATENTE, FECHADURA COM EXECUÇÃO DO FURO - FORNECIMENTO E INSTALAÇÃO</t>
  </si>
  <si>
    <t>90806</t>
  </si>
  <si>
    <t>BATENTE PARA PORTA DE MADEIRA, FIXAÇÃO COM ARGAMASSA, PADRÃO MÉDIO - FORNECIMENTO E INSTALAÇÃO</t>
  </si>
  <si>
    <t>PORTA DE MADEIRA PARA PINTURA, SEMI-OCA (LEVE OU MÉDIA), 90X210CM, ESPESSURA DE 3,5CM, INCLUSO DOBRADIÇAS - FORNECIMENTO E INSTALAÇÃO</t>
  </si>
  <si>
    <t>90830</t>
  </si>
  <si>
    <t>FECHADURA DE EMBUTIR COM CILINDRO, EXTERNA, COMPLETA, ACABAMENTO PADRÃO MÉDIO, INCLUSO EXECUÇÃO DE FURO - FORNECIMENTO E INSTALAÇÃO</t>
  </si>
  <si>
    <t>100659</t>
  </si>
  <si>
    <t>ALIZAR DE 5X1,5CM PARA PORTA FIXADO COM PREGOS, PADRÃO MÉDIO - FORNECIMENTO E INSTALAÇÃO</t>
  </si>
  <si>
    <t>10,2000000</t>
  </si>
  <si>
    <t xml:space="preserve">PORTA DE MADEIRA, SEMI-OCA (LEVE OU MÉDIA), 80X210CM, ESPESSURA DE 3,5CM, INCLUSO DOBRADIÇAS - FORNECIMENTO E INSTALAÇÃO. </t>
  </si>
  <si>
    <t>4964</t>
  </si>
  <si>
    <t>PORTA DE ABRIR / GIRO, DE MADEIRA FOLHA MEDIA (NBR 15930) DE 800 X 2100 MM, DE 35 MM A 40 MM DE ESPESSURA, NUCLEO SEMI-SOLIDO (SARRAFEADO), CAPA FRISADA EM HDF, ACABAMENTO MELAMINICO EM PADRAO MADEIRA</t>
  </si>
  <si>
    <t>1,5460000</t>
  </si>
  <si>
    <t>0,7730000</t>
  </si>
  <si>
    <t>Pintura com esmalte retardante ao fogo (para porta corta-fogo)</t>
  </si>
  <si>
    <t>TINTA ANTI CHAMA PARA PORTA CORTA FOGO</t>
  </si>
  <si>
    <t>FUNDO ANTICORROSIVO PARA METAIS FERROSOS (ZARCAO)</t>
  </si>
  <si>
    <t>RETIRADA DE DIVISORIAS EM CHAPAS DE MADEIRA, COM MONTANTES METALICOS</t>
  </si>
  <si>
    <t>1,2000000</t>
  </si>
  <si>
    <t>RECOLOCACAO DE DIVISORIAS TIPO CHAPAS OU TABUAS, INCLUSIVE ENTARUGAMENTO, CONSIDERANDO REAPROVEITAMENTO DO MATERIAL</t>
  </si>
  <si>
    <t>5061</t>
  </si>
  <si>
    <t>PREGO DE ACO POLIDO COM CABECA 18 X 27 (2 1/2 X 10)</t>
  </si>
  <si>
    <t>99855</t>
  </si>
  <si>
    <t>CORRIMÃO SIMPLES, DIÂMETRO EXTERNO = 1 1/2, EM AÇO GALVANIZADO</t>
  </si>
  <si>
    <t>3,2730000</t>
  </si>
  <si>
    <t>11002</t>
  </si>
  <si>
    <t>ELETRODO REVESTIDO AWS - E6013, DIAMETRO IGUAL A 2,50 MM</t>
  </si>
  <si>
    <t>0,0040000</t>
  </si>
  <si>
    <t>11033</t>
  </si>
  <si>
    <t>SUPORTE PARA CALHA DE 150 MM EM FERRO GALVANIZADO</t>
  </si>
  <si>
    <t>1,0910000</t>
  </si>
  <si>
    <t>21012</t>
  </si>
  <si>
    <t>TUBO ACO GALVANIZADO COM COSTURA, CLASSE LEVE, DN 40 MM ( 1 1/2"),  E = 3,00 MM,  *3,48* KG/M (NBR 5580)</t>
  </si>
  <si>
    <t>1,0290000</t>
  </si>
  <si>
    <t>88251</t>
  </si>
  <si>
    <t>AUXILIAR DE SERRALHEIRO COM ENCARGOS COMPLEMENTARES</t>
  </si>
  <si>
    <t>0,7780000</t>
  </si>
  <si>
    <t>88315</t>
  </si>
  <si>
    <t>SERRALHEIRO COM ENCARGOS COMPLEMENTARES</t>
  </si>
  <si>
    <t>0,9480000</t>
  </si>
  <si>
    <t>99857</t>
  </si>
  <si>
    <t>CORRIMÃO SIMPLES, DIÂMETRO EXTERNO = 1 1/2, EM ALUMÍNIO</t>
  </si>
  <si>
    <t>5104</t>
  </si>
  <si>
    <t>REBITE DE ALUMINIO VAZADO DE REPUXO, 3,2 X 8 MM (1KG = 1025 UNIDADES)</t>
  </si>
  <si>
    <t>0,0020000</t>
  </si>
  <si>
    <t>2,1820000</t>
  </si>
  <si>
    <t>34360</t>
  </si>
  <si>
    <t>PERFIL DE ALUMINIO ANODIZADO</t>
  </si>
  <si>
    <t>0,4770000</t>
  </si>
  <si>
    <t>1,0930000</t>
  </si>
  <si>
    <t>1,3300000</t>
  </si>
  <si>
    <t>EXECUÇÃO DE REVESTIMENTO DE PAREDES E LAMBRIL DE MADEIRA</t>
  </si>
  <si>
    <t>5065</t>
  </si>
  <si>
    <t>PREGO DE ACO POLIDO COM CABECA 10 X 10 (7/8 X 17)</t>
  </si>
  <si>
    <t>0,0083000</t>
  </si>
  <si>
    <t>LAMBRIL DE  MADEIRA PARA PAREDES, CEDRO COM ACABAMENTO DE VERNIZ INCOLOR, ENCAIXE MACHO/FEMEA, *20 X 2* CM</t>
  </si>
  <si>
    <t>1,0750000</t>
  </si>
  <si>
    <t>44396</t>
  </si>
  <si>
    <t>COLA BRANCA BASE PVA</t>
  </si>
  <si>
    <t>0,5750000</t>
  </si>
  <si>
    <t>0,1926000</t>
  </si>
  <si>
    <t>0,4624000</t>
  </si>
  <si>
    <t>ESPELHO CRISTAL, ESPESSURA 4MM, COM PARAFUSOS DE FIXACAO, SEM MOLDURA</t>
  </si>
  <si>
    <t>442</t>
  </si>
  <si>
    <t>PARAFUSO FRANCES M16 EM ACO GALVANIZADO, COMPRIMENTO = 45 MM, DIAMETRO = 16 MM, CABECA ABAULADA</t>
  </si>
  <si>
    <t>4,0000000</t>
  </si>
  <si>
    <t>11186</t>
  </si>
  <si>
    <t>ESPELHO CRISTAL E = 4 MM</t>
  </si>
  <si>
    <t>88325</t>
  </si>
  <si>
    <t>VIDRACEIRO COM ENCARGOS COMPLEMENTARES</t>
  </si>
  <si>
    <t>2,0000000</t>
  </si>
  <si>
    <t>REVESTIMENTO CERÂMICO PARA PAREDES EXTERNAS EM PASTILHAS DE VIDRO 3 X 3 CM (PLACAS DE 30 X 30 CM), ALINHADAS A PRUMO</t>
  </si>
  <si>
    <t>4396</t>
  </si>
  <si>
    <t>PASTILHA VIDRO, REVEST INT/EXT E PISCINA, COR VERDE ESCURO, SOLIDAS, SEM MESCLAGEM/MISTURA, ACABAMENTO LISO *3 X 3* CM</t>
  </si>
  <si>
    <t>37596</t>
  </si>
  <si>
    <t xml:space="preserve">ARGAMASSA COLANTE TIPO AC III </t>
  </si>
  <si>
    <t>9,8400000</t>
  </si>
  <si>
    <t>1,2900000</t>
  </si>
  <si>
    <t>0,6500000</t>
  </si>
  <si>
    <t>REVESTIMENTO CERÂMICO PARA PAREDES INTERNAS COM PLACAS TIPO ESMALTADA EXTRA DE DIMENSÕES 20X20 CM APLICADAS EM AMBIENTES DE ÁREA MENOR QUE 5 M² NA ALTURA INTEIRA DAS PAREDES</t>
  </si>
  <si>
    <t>536</t>
  </si>
  <si>
    <t>REVESTIMENTO EM CERAMICA ESMALTADA EXTRA, PEI MENOR OU IGUAL A 3, FORMATO MENOR OU IGUAL A 2025 CM2</t>
  </si>
  <si>
    <t>1,0600000</t>
  </si>
  <si>
    <t>1381</t>
  </si>
  <si>
    <t>ARGAMASSA COLANTE AC I PARA CERAMICAS</t>
  </si>
  <si>
    <t>4,8600000</t>
  </si>
  <si>
    <t>0,4200000</t>
  </si>
  <si>
    <t>0,7200000</t>
  </si>
  <si>
    <t>0,3800000</t>
  </si>
  <si>
    <t>IMPERMEABILIZAÇÃO CAIXA D'AGUA SUPERIOR com ARGAMASSA POLIMÉRICA COM ESPESSURA DE 1,0mm + MEMBRANA ACRÍLICA COM CIMENTO, COM ESPESSURA DE 3,0mm - 4 demãos</t>
  </si>
  <si>
    <t>135</t>
  </si>
  <si>
    <t>ARGAMASSA POLIMERICA IMPERMEABILIZANTE SEMIFLEXIVEL, BICOMPONENTE (MEMBRANA IMPERMEABILIZANTE ACRILICA)</t>
  </si>
  <si>
    <t>4,2000000</t>
  </si>
  <si>
    <t>4030</t>
  </si>
  <si>
    <t>VEU DE POLIESTER PARA IMPERMEABILIZACAO</t>
  </si>
  <si>
    <t>1,3510000</t>
  </si>
  <si>
    <t>88243</t>
  </si>
  <si>
    <t>0,1780000</t>
  </si>
  <si>
    <t>0,8810000</t>
  </si>
  <si>
    <t>Pintura de concreto aparente, com lixamento e preparação de base, com resina acrilica impermeabilizante, 2 DEMAOS</t>
  </si>
  <si>
    <t>Resina acrilica de alta performance impermeabilizante a base d'agua. Ref: Resicril</t>
  </si>
  <si>
    <t>LIXADEIRA ELETRICA INDUSTRIAL P/ CORTE OU DESGASTE DIAM 7" PORTATIL</t>
  </si>
  <si>
    <t>10498</t>
  </si>
  <si>
    <t>MASSA PARA VIDRO</t>
  </si>
  <si>
    <t>1,5000000</t>
  </si>
  <si>
    <t>10507</t>
  </si>
  <si>
    <t>INSTALAÇÃO DE VIDRO LAMINADO, E = 10 MM, ENCAIXADO EM PERFIL U</t>
  </si>
  <si>
    <t>VIDRO COMUM LAMINADO, LISO, INCOLOR, duplo, ESPESSURA TOTAL 10 MM - COLOCADO</t>
  </si>
  <si>
    <t>11950</t>
  </si>
  <si>
    <t>BUCHA DE NYLON SEM ABA S6, COM PARAFUSO DE 4,20 X 40 MM EM ACO ZINCADO COM ROSCA SOBERBA, CABECA CHATA E FENDA PHILLIPS</t>
  </si>
  <si>
    <t>20259</t>
  </si>
  <si>
    <t>PERFIL DE BORRACHA EPDM MACICO *12 X 15* MM PARA ESQUADRIAS</t>
  </si>
  <si>
    <t>2,9750000</t>
  </si>
  <si>
    <t>2,6050000</t>
  </si>
  <si>
    <t>1,4730000</t>
  </si>
  <si>
    <t>1,5150000</t>
  </si>
  <si>
    <t>orse 9732</t>
  </si>
  <si>
    <t>ALUGUEL DE CADEIRINHA P/ FACHADA</t>
  </si>
  <si>
    <t>mês</t>
  </si>
  <si>
    <t>COMPOSIÇÃO</t>
  </si>
  <si>
    <t>DETERGENTE NEUTRO USO GERAL, CONCENTRADO</t>
  </si>
  <si>
    <t>AUXILIAR DE SERVIÇOS GERAIS COM ENCARGOS COMPLEMENTARES</t>
  </si>
  <si>
    <t>LAVADORA DE ALTA PRESSAO PARA AGUA FRIA</t>
  </si>
  <si>
    <t>Manutenção e pintura de vigas e elementos metálicos das fachadas norte e sul</t>
  </si>
  <si>
    <t>LIXADEIRA DE PAREDE, COM LED, POTÊNCIA 750 W</t>
  </si>
  <si>
    <t>DILUENTE AGUARRAS</t>
  </si>
  <si>
    <t>7307</t>
  </si>
  <si>
    <t>0,1098000</t>
  </si>
  <si>
    <t>TINTA ESMALTE SINTETICO PREMIUM DE DUPLA ACAO GRAFITE FOSCO PARA SUPERFICIES METALICAS FERROSAS</t>
  </si>
  <si>
    <t>composição</t>
  </si>
  <si>
    <t>COLOCAÇÃO DE FITA PROTETORA PARA PINTURA</t>
  </si>
  <si>
    <t>h</t>
  </si>
  <si>
    <t>MUDA DE RASTEIRA/FORRACAO, AMENDOIM RASTEIRO/ONZE HORAS/AZULZINHA/IMPATIENS OU EQUIVALENTE DA REGIAO</t>
  </si>
  <si>
    <t>MUDA DE ARBUSTO FOLHAGEM, SANSAO-DO-CAMPO OU EQUIVALENTE DA REGIAO, H= *50 A 70* CM</t>
  </si>
  <si>
    <t>88441</t>
  </si>
  <si>
    <t>JARDINEIRO COM ENCARGOS COMPLEMENTARES</t>
  </si>
  <si>
    <t>103946</t>
  </si>
  <si>
    <t>PLANTIO DE GRAMA ESMERALDA OU SÃO CARLOS OU CURITIBANA, EM PLACAS</t>
  </si>
  <si>
    <t>3322</t>
  </si>
  <si>
    <t>GRAMA ESMERALDA OU SAO CARLOS OU CURITIBANA, EM PLACAS, SEM PLANTIO</t>
  </si>
  <si>
    <t>0,1564000</t>
  </si>
  <si>
    <t>0,0391000</t>
  </si>
  <si>
    <t>GRELHA DE FERRO FUNDIDO SIMPLES COM REQUADRO, 150 X 1000 MM, ASSENTADA COM ARGAMASSA 1 : 3 CIMENTO: AREIA - FORNECIMENTO E INSTALAÇÃO</t>
  </si>
  <si>
    <t>11235</t>
  </si>
  <si>
    <t>GRELHA FOFO SIMPLES COM REQUADRO, CARGA MAXIMA 1,5 T, 150 X 1000 MM, E= *15* MM</t>
  </si>
  <si>
    <t>0,4530000</t>
  </si>
  <si>
    <t>ARGAMASSA TRAÇO 1:3 (EM VOLUME DE CIMENTO E AREIA MÉDIA ÚMIDA), PREPARO MANUAL. AF_08/2019</t>
  </si>
  <si>
    <t>0,0054000</t>
  </si>
  <si>
    <t>CALHA EM CHAPA DE AÇO GALVANIZADO NÚMERO 24, DESENVOLVIMENTO DE 100 CM , INCLUSO TRANSPORTE VERTICAL</t>
  </si>
  <si>
    <t>SELANTE ELASTICO MONOCOMPONENTE A BASE DE POLIURETANO PARA JUNTAS DIVERSAS</t>
  </si>
  <si>
    <t>0,1610000</t>
  </si>
  <si>
    <t>0,0049000</t>
  </si>
  <si>
    <t>13388</t>
  </si>
  <si>
    <t>SOLDA EM BARRA DE ESTANHO-CHUMBO 50/50</t>
  </si>
  <si>
    <t>40871</t>
  </si>
  <si>
    <t>CALHA QUADRADA DE CHAPA DE ACO GALVANIZADA NUM 24, CORTE 100 CM (COLETADO CAIXA)</t>
  </si>
  <si>
    <t>0,6330000</t>
  </si>
  <si>
    <t>88323</t>
  </si>
  <si>
    <t>TELHADISTA COM ENCARGOS COMPLEMENTARES</t>
  </si>
  <si>
    <t>0,5390000</t>
  </si>
  <si>
    <t>93281</t>
  </si>
  <si>
    <t>GUINCHO ELÉTRICO DE COLUNA, CAPACIDADE 400 KG, COM MOTO FREIO, MOTOR TRIFÁSICO DE 1,25 CV - CHP DIURNO. AF_03/2016</t>
  </si>
  <si>
    <t>93282</t>
  </si>
  <si>
    <t>GUINCHO ELÉTRICO DE COLUNA, CAPACIDADE 400 KG, COM MOTO FREIO, MOTOR TRIFÁSICO DE 1,25 CV - CHI DIURNO. AF_03/2016</t>
  </si>
  <si>
    <t>0,0183000</t>
  </si>
  <si>
    <t>RUFO EM CHAPA DE AÇO GALVANIZADO NÚMERO 24, CORTE DE 25 CM, INCLUSO TRANSPORTE VERTICAL</t>
  </si>
  <si>
    <t>0,0012000</t>
  </si>
  <si>
    <t>0,0450000</t>
  </si>
  <si>
    <t>40872</t>
  </si>
  <si>
    <t>RUFO INTERNO/EXTERNO DE CHAPA DE ACO GALVANIZADA NUM 24, CORTE 25 CM (COLETADO CAIXA)</t>
  </si>
  <si>
    <t>0,2070000</t>
  </si>
  <si>
    <t>0,1120000</t>
  </si>
  <si>
    <t>89356</t>
  </si>
  <si>
    <t xml:space="preserve">TUBO, PVC, SOLDÁVEL, DN 25MM, INSTALADO EM RAMAL OU SUB-RAMAL DE ÁGUA - FORNECIMENTO E INSTALAÇÃO. </t>
  </si>
  <si>
    <t>9868</t>
  </si>
  <si>
    <t>TUBO PVC, SOLDAVEL, DN 25 MM, AGUA FRIA (NBR-5648)</t>
  </si>
  <si>
    <t>1,0610000</t>
  </si>
  <si>
    <t>38383</t>
  </si>
  <si>
    <t>LIXA D'AGUA EM FOLHA, GRAO 100</t>
  </si>
  <si>
    <t>0,1230000</t>
  </si>
  <si>
    <t>88248</t>
  </si>
  <si>
    <t>AUXILIAR DE ENCANADOR OU BOMBEIRO HIDRÁULICO COM ENCARGOS COMPLEMENTARES</t>
  </si>
  <si>
    <t>0,3690000</t>
  </si>
  <si>
    <t>88267</t>
  </si>
  <si>
    <t>ENCANADOR OU BOMBEIRO HIDRÁULICO COM ENCARGOS COMPLEMENTARES</t>
  </si>
  <si>
    <t>89357</t>
  </si>
  <si>
    <t xml:space="preserve">TUBO, PVC, SOLDÁVEL, DN 32MM, INSTALADO EM RAMAL OU SUB-RAMAL DE ÁGUA - FORNECIMENTO E INSTALAÇÃO. </t>
  </si>
  <si>
    <t>9869</t>
  </si>
  <si>
    <t>TUBO PVC, SOLDAVEL, DN 32 MM, AGUA FRIA (NBR-5648)</t>
  </si>
  <si>
    <t>0,1470000</t>
  </si>
  <si>
    <t>0,4400000</t>
  </si>
  <si>
    <t>89512</t>
  </si>
  <si>
    <t xml:space="preserve">TUBO PVC, SÉRIE R, ÁGUA PLUVIAL, DN 100 MM, FORNECIDO E INSTALADO EM RAMAL DE ENCAMINHAMENTO. </t>
  </si>
  <si>
    <t>122</t>
  </si>
  <si>
    <t>ADESIVO PLASTICO PARA PVC, FRASCO COM 850 GR</t>
  </si>
  <si>
    <t>0,0429000</t>
  </si>
  <si>
    <t>9841</t>
  </si>
  <si>
    <t>TUBO PVC, SERIE R, DN 100 MM, PARA ESGOTO OU AGUAS PLUVIAIS PREDIAL (NBR 5688)</t>
  </si>
  <si>
    <t>1,0400000</t>
  </si>
  <si>
    <t>20083</t>
  </si>
  <si>
    <t>SOLUCAO LIMPADORA PARA PVC, FRASCO COM 1000 CM3</t>
  </si>
  <si>
    <t>0,0701000</t>
  </si>
  <si>
    <t>0,1485000</t>
  </si>
  <si>
    <t>0,4450000</t>
  </si>
  <si>
    <t>89714</t>
  </si>
  <si>
    <t>TUBO PVC, SERIE NORMAL, ESGOTO PREDIAL, DN 100 MM, FORNECIDO E INSTALADO EM RAMAL DE DESCARGA OU RAMAL DE ESGOTO SANITÁRIO.</t>
  </si>
  <si>
    <t>0,0363000</t>
  </si>
  <si>
    <t>9836</t>
  </si>
  <si>
    <t>TUBO PVC  SERIE NORMAL, DN 100 MM, PARA ESGOTO  PREDIAL (NBR 5688)</t>
  </si>
  <si>
    <t>0,0593000</t>
  </si>
  <si>
    <t>0,7400000</t>
  </si>
  <si>
    <t>91871</t>
  </si>
  <si>
    <t>ELETRODUTO RÍGIDO ROSCÁVEL, PVC, DN 25 MM (3/4"), PARA CIRCUITOS TERMINAIS, INSTALADO EM PAREDE - FORNECIMENTO E INSTALAÇÃO.</t>
  </si>
  <si>
    <t>2674</t>
  </si>
  <si>
    <t>ELETRODUTO DE PVC RIGIDO ROSCAVEL DE 3/4 ", SEM LUVA</t>
  </si>
  <si>
    <t>1,0170000</t>
  </si>
  <si>
    <t>88247</t>
  </si>
  <si>
    <t>AUXILIAR DE ELETRICISTA COM ENCARGOS COMPLEMENTARES</t>
  </si>
  <si>
    <t>0,1700000</t>
  </si>
  <si>
    <t>88264</t>
  </si>
  <si>
    <t>ELETRICISTA COM ENCARGOS COMPLEMENTARES</t>
  </si>
  <si>
    <t>91875</t>
  </si>
  <si>
    <t>LUVA PARA ELETRODUTO, PVC, ROSCÁVEL, DN 25 MM (3/4"), PARA CIRCUITOS TERMINAIS, INSTALADA EM FORRO - FORNECIMENTO E INSTALAÇÃO</t>
  </si>
  <si>
    <t>1891</t>
  </si>
  <si>
    <t>LUVA EM PVC RIGIDO ROSCAVEL, DE 3/4", PARA ELETRODUTO</t>
  </si>
  <si>
    <t>0,1070000</t>
  </si>
  <si>
    <t>91890</t>
  </si>
  <si>
    <t>CURVA 90 GRAUS PARA ELETRODUTO, PVC, ROSCÁVEL, DN 25 MM (3/4"), PARA CIRCUITOS TERMINAIS, INSTALADA EM FORRO - FORNECIMENTO E INSTALAÇÃO</t>
  </si>
  <si>
    <t>1879</t>
  </si>
  <si>
    <t>CURVA 90 GRAUS, LONGA, DE PVC RIGIDO ROSCAVEL, DE 3/4", PARA ELETRODUTO</t>
  </si>
  <si>
    <t>91926</t>
  </si>
  <si>
    <t>CABO DE COBRE FLEXÍVEL ISOLADO, 2,5 MM², ANTI-CHAMA 450/750 V, PARA CIRCUITOS TERMINAIS - FORNECIMENTO E INSTALAÇÃO</t>
  </si>
  <si>
    <t>CABO DE COBRE, FLEXIVEL, CLASSE 4 OU 5, ISOLACAO EM PVC/A, ANTICHAMA BWF-B, 1 CONDUTOR, 450/750 V, SECAO NOMINAL 2,5 MM2</t>
  </si>
  <si>
    <t>1,1900000</t>
  </si>
  <si>
    <t>21127</t>
  </si>
  <si>
    <t>FITA ISOLANTE ADESIVA ANTICHAMA, USO ATE 750 V, EM ROLO DE 19 MM X 5 M</t>
  </si>
  <si>
    <t>0,0090000</t>
  </si>
  <si>
    <t>0,0300000</t>
  </si>
  <si>
    <t>91928</t>
  </si>
  <si>
    <t>CABO DE COBRE FLEXÍVEL ISOLADO, 4 MM², ANTI-CHAMA 450/750 V, PARA CIRCUITOS TERMINAIS - FORNECIMENTO E INSTALAÇÃO</t>
  </si>
  <si>
    <t>CABO DE COBRE, FLEXIVEL, CLASSE 4 OU 5, ISOLACAO EM PVC/A, ANTICHAMA BWF-B, 1 CONDUTOR, 450/750 V, SECAO NOMINAL 4 MM2</t>
  </si>
  <si>
    <t>91930</t>
  </si>
  <si>
    <t>CABO DE COBRE FLEXÍVEL ISOLADO, 6 MM², ANTI-CHAMA 450/750 V, PARA CIRCUITOS TERMINAIS - FORNECIMENTO E INSTALAÇÃO</t>
  </si>
  <si>
    <t>982</t>
  </si>
  <si>
    <t>CABO DE COBRE, FLEXIVEL, CLASSE 4 OU 5, ISOLACAO EM PVC/A, ANTICHAMA BWF-B, 1 CONDUTOR, 450/750 V, SECAO NOMINAL 6 MM2</t>
  </si>
  <si>
    <t>0,0520000</t>
  </si>
  <si>
    <t>95787</t>
  </si>
  <si>
    <t>CONDULETE DE ALUMÍNIO, TIPO LR, PARA ELETRODUTO DE AÇO GALVANIZADO DN 20 MM (3/4''), APARENTE - FORNECIMENTO E INSTALAÇÃO</t>
  </si>
  <si>
    <t>2593</t>
  </si>
  <si>
    <t>CONDULETE DE ALUMINIO TIPO LR, PARA ELETRODUTO ROSCAVEL DE 3/4", COM TAMPA CEGA</t>
  </si>
  <si>
    <t>0,3154000</t>
  </si>
  <si>
    <t>95778</t>
  </si>
  <si>
    <t>CONDULETE DE ALUMÍNIO, TIPO C, PARA ELETRODUTO DE AÇO GALVANIZADO DN 20 MM (3/4''), APARENTE - FORNECIMENTO E INSTALAÇÃO</t>
  </si>
  <si>
    <t>2559</t>
  </si>
  <si>
    <t>CONDULETE DE ALUMINIO TIPO C, PARA ELETRODUTO ROSCAVEL DE 3/4", COM TAMPA CEGA</t>
  </si>
  <si>
    <t>95795</t>
  </si>
  <si>
    <t>CONDULETE DE ALUMÍNIO, TIPO T, PARA ELETRODUTO DE AÇO GALVANIZADO DN 20 MM (3/4''), APARENTE - FORNECIMENTO E INSTALAÇÃO.</t>
  </si>
  <si>
    <t>2574</t>
  </si>
  <si>
    <t>CONDULETE DE ALUMINIO TIPO T, PARA ELETRODUTO ROSCAVEL DE 3/4", COM TAMPA CEGA</t>
  </si>
  <si>
    <t>0,3581000</t>
  </si>
  <si>
    <t>95808</t>
  </si>
  <si>
    <t>CONDULETE DE PVC, TIPO LL/LR, PARA ELETRODUTO DE PVC SOLDÁVEL DN 25 MM (3/4''), APARENTE - FORNECIMENTO E INSTALAÇÃO</t>
  </si>
  <si>
    <t>12020</t>
  </si>
  <si>
    <t>CONDULETE EM PVC, TIPO "LL ou LR", SEM TAMPA, DE 1/2" OU 3/4"</t>
  </si>
  <si>
    <t>0,3443000</t>
  </si>
  <si>
    <t>ELETROCALHA LISA OU PERFURADA EM AÇO GALVANIZADO, LARGURA  100MM E ALTURA 50MM, INCLUSIVE EMENDA E FIXAÇÃO - FORNECIMENTO E INSTALAÇÃO</t>
  </si>
  <si>
    <t>Limpeza de placas de sistema fotovoltaico</t>
  </si>
  <si>
    <t>92364</t>
  </si>
  <si>
    <t>TUBO DE AÇO GALVANIZADO COM COSTURA, CLASSE MÉDIA, DN 32 (1 1/4"), CONEXÃO ROSQUEADA, INSTALADO EM REDE DE ALIMENTAÇÃO PARA HIDRANTE - FORNECIMENTO E INSTALAÇÃO.</t>
  </si>
  <si>
    <t>7698</t>
  </si>
  <si>
    <t>TUBO ACO GALVANIZADO COM COSTURA, CLASSE MEDIA, DN 1.1/4", E = *3,25* MM, PESO *3,14* KG/M (NBR 5580)</t>
  </si>
  <si>
    <t>1,0390000</t>
  </si>
  <si>
    <t>92365</t>
  </si>
  <si>
    <t>TUBO DE AÇO GALVANIZADO COM COSTURA, CLASSE MÉDIA, DN 40 (1 1/2"), CONEXÃO ROSQUEADA, INSTALADO EM REDE DE ALIMENTAÇÃO PARA HIDRANTE - FORNECIMENTO E INSTALAÇÃO.</t>
  </si>
  <si>
    <t>7697</t>
  </si>
  <si>
    <t>TUBO ACO GALVANIZADO COM COSTURA, CLASSE MEDIA, DN 1.1/2", E = *3,25* MM, PESO *3,61* KG/M (NBR 5580)</t>
  </si>
  <si>
    <t>0,1940000</t>
  </si>
  <si>
    <t>92652</t>
  </si>
  <si>
    <t>TUBO DE AÇO GALVANIZADO COM COSTURA, CLASSE MÉDIA, CONEXÃO ROSQUEADA, DN 32 (1 1/4"), INSTALADO EM REDE DE ALIMENTAÇÃO PARA SPRINKLER - FORNECIMENTO E INSTALAÇÃO. AF_12/2015</t>
  </si>
  <si>
    <t>101907</t>
  </si>
  <si>
    <t>4350</t>
  </si>
  <si>
    <t>BUCHA DE NYLON, DIAMETRO DO FURO 8 MM, COMPRIMENTO 40 MM, COM PARAFUSO DE ROSCA SOBERBA, CABECA CHATA, FENDA SIMPLES, 4,8 X 50 MM</t>
  </si>
  <si>
    <t>10889</t>
  </si>
  <si>
    <t>EXTINTOR DE INCENDIO PORTATIL COM CARGA DE GAS CARBONICO CO2 DE 6 KG, CLASSE BC</t>
  </si>
  <si>
    <t>0,4574000</t>
  </si>
  <si>
    <t>101909</t>
  </si>
  <si>
    <t>10892</t>
  </si>
  <si>
    <t>EXTINTOR DE INCENDIO PORTATIL COM CARGA DE PO QUIMICO SECO (PQS) DE 6 KG, CLASSE BC</t>
  </si>
  <si>
    <t>Senado</t>
  </si>
  <si>
    <t>Manutenção nível 1 e 2 para Extintor de incêndio com carga de PQS – 4kg - BC, com recarga</t>
  </si>
  <si>
    <t>Manutenção nível 1 e 2 para Extintor de incêndio com carga de PQS – 6kg - ABC, com recarga</t>
  </si>
  <si>
    <t>Manutenção nível 1 e 2 para Extintor de incêndio com carga de PQS – 4kg – ABC</t>
  </si>
  <si>
    <t>Manutenção nível 1 e 2 para Extintor de incêndio com carga de Água pressurizada – 10 litros, com recarga</t>
  </si>
  <si>
    <r>
      <t>Manutenção nível 1 e 2 Extintor de incêndio com carga de CO</t>
    </r>
    <r>
      <rPr>
        <b/>
        <vertAlign val="subscript"/>
        <sz val="12"/>
        <rFont val="Times New Roman"/>
        <family val="1"/>
      </rPr>
      <t xml:space="preserve">2 </t>
    </r>
    <r>
      <rPr>
        <b/>
        <sz val="12"/>
        <rFont val="Times New Roman"/>
        <family val="1"/>
      </rPr>
      <t>– 6kg, com recarga</t>
    </r>
  </si>
  <si>
    <t>Teste hidrostático de mangueira de incêndio com emissão de relatório</t>
  </si>
  <si>
    <t>94991</t>
  </si>
  <si>
    <t>EXECUÇÃO DE PASSEIO (CALÇADA) OU PISO DE CONCRETO COM CONCRETO MOLDADO IN LOCO, USINADO, ACABAMENTO CONVENCIONAL, NÃO ARMADO. AF_08/2022</t>
  </si>
  <si>
    <t>2692</t>
  </si>
  <si>
    <t>DESMOLDANTE PROTETOR PARA FORMAS DE MADEIRA, DE BASE OLEOSA EMULSIONADA EM AGUA</t>
  </si>
  <si>
    <t>0,0213000</t>
  </si>
  <si>
    <t>4509</t>
  </si>
  <si>
    <t>SARRAFO *2,5 X 10* CM EM PINUS, MISTA OU EQUIVALENTE DA REGIAO - BRUTA</t>
  </si>
  <si>
    <t>3,1250000</t>
  </si>
  <si>
    <t>4517</t>
  </si>
  <si>
    <t>SARRAFO *2,5 X 7,5* CM EM PINUS, MISTA OU EQUIVALENTE DA REGIAO - BRUTA</t>
  </si>
  <si>
    <t>2,5000000</t>
  </si>
  <si>
    <t>5068</t>
  </si>
  <si>
    <t>PREGO DE ACO POLIDO COM CABECA 17 X 21 (2 X 11)</t>
  </si>
  <si>
    <t>0,2994000</t>
  </si>
  <si>
    <t>34492</t>
  </si>
  <si>
    <t>CONCRETO USINADO BOMBEAVEL, CLASSE DE RESISTENCIA C20, COM BRITA 0 E 1, SLUMP = 100 +/- 20 MM, EXCLUI SERVICO DE BOMBEAMENTO (NBR 8953)</t>
  </si>
  <si>
    <t>1,2315000</t>
  </si>
  <si>
    <t>88262</t>
  </si>
  <si>
    <t>CARPINTEIRO DE FORMAS COM ENCARGOS COMPLEMENTARES</t>
  </si>
  <si>
    <t>1,6268000</t>
  </si>
  <si>
    <t>0,1560000</t>
  </si>
  <si>
    <t>1,7828000</t>
  </si>
  <si>
    <t>LASTRO DE CONCRETO MAGRO, APLICADO EM PISOS, LAJES SOBRE SOLO OU RADIER, ESPESSURA DE 5CM</t>
  </si>
  <si>
    <t>0,2718000</t>
  </si>
  <si>
    <t>0,0741000</t>
  </si>
  <si>
    <t>94968</t>
  </si>
  <si>
    <t>CONCRETO MAGRO PARA LASTRO, TRAÇO 1:4,5:4,5 (EM MASSA SECA DE CIMENTO/ AREIA MÉDIA/ BRITA 1) - PREPARO MECÂNICO COM BETONEIRA 600L</t>
  </si>
  <si>
    <t>0,0565000</t>
  </si>
  <si>
    <t>LASTRO COM MATERIAL GRANULAR (PEDRA BRITADA N.2), APLICADO EM PISOS OU LAJES SOBRE SOLO, ESPESSURA DE *10 CM*</t>
  </si>
  <si>
    <t>4718</t>
  </si>
  <si>
    <t>PEDRA BRITADA N. 2 (19 A 38 MM) POSTO PEDREIRA/FORNECEDOR, SEM FRETE</t>
  </si>
  <si>
    <t>1,1300000</t>
  </si>
  <si>
    <t>1,0300000</t>
  </si>
  <si>
    <t>0,3430000</t>
  </si>
  <si>
    <t>91277</t>
  </si>
  <si>
    <t>PLACA VIBRATÓRIA REVERSÍVEL COM MOTOR 4 TEMPOS A GASOLINA, FORÇA CENTRÍFUGA DE 25 KN (2500 KGF), POTÊNCIA 5,5 CV - CHP DIURNO.</t>
  </si>
  <si>
    <t>0,0320000</t>
  </si>
  <si>
    <t>91278</t>
  </si>
  <si>
    <t xml:space="preserve">PLACA VIBRATÓRIA REVERSÍVEL COM MOTOR 4 TEMPOS A GASOLINA, FORÇA CENTRÍFUGA DE 25 KN (2500 KGF), POTÊNCIA 5,5 CV - CHI DIURNO. </t>
  </si>
  <si>
    <t>EXECUÇÃO DE PISO INDUSTRIAL DE CONCRETO ARMADO, FCK = 20 MPA, ESPESSURA DE 12CM</t>
  </si>
  <si>
    <t>0,0513330</t>
  </si>
  <si>
    <t>5069</t>
  </si>
  <si>
    <t>PREGO DE ACO POLIDO COM CABECA 17 X 27 (2 1/2 X 11)</t>
  </si>
  <si>
    <t>0,0017700</t>
  </si>
  <si>
    <t>0,1271570</t>
  </si>
  <si>
    <t>42409</t>
  </si>
  <si>
    <t>AGENTE DE CURA, PROTETOR DA EVAPORACAO DA AGUA DE HIDRATACAO DO CONCRETO</t>
  </si>
  <si>
    <t>43614</t>
  </si>
  <si>
    <t>TABUA NAO APARELHADA *2,5 X 15* CM, EM MACARANDUBA, ANGELIM OU EQUIVALENTE DA REGIAO - BRUTA</t>
  </si>
  <si>
    <t>0,0641670</t>
  </si>
  <si>
    <t>0,0320060</t>
  </si>
  <si>
    <t>0,0651990</t>
  </si>
  <si>
    <t>0,0951470</t>
  </si>
  <si>
    <t>95282</t>
  </si>
  <si>
    <t>DESEMPENADEIRA DE CONCRETO, PESO DE 78 KG, 4 PÁS, MOTOR A GASOLINA, POTÊNCIA 5,5 HP - CHP DIURNO. AF_05/2023</t>
  </si>
  <si>
    <t>0,0042950</t>
  </si>
  <si>
    <t>97090</t>
  </si>
  <si>
    <t>ARMAÇÃO PARA EXECUÇÃO DE RADIER, PISO DE CONCRETO OU LAJE SOBRE SOLO, COM USO DE TELA Q-138. AF_09/2021</t>
  </si>
  <si>
    <t>2,2000000</t>
  </si>
  <si>
    <t>97113</t>
  </si>
  <si>
    <t>APLICAÇÃO DE LONA PLÁSTICA PARA EXECUÇÃO DE PAVIMENTOS DE CONCRETO. AF_04/2022</t>
  </si>
  <si>
    <t>97115</t>
  </si>
  <si>
    <t>APLICAÇÃO DE GRAXA EM BARRAS DE TRANSFERÊNCIA PARA EXECUÇÃO DE PAVIMENTO DE CONCRETO. AF_04/2022</t>
  </si>
  <si>
    <t>0,0233730</t>
  </si>
  <si>
    <t>97116</t>
  </si>
  <si>
    <t>BARRAS DE TRANSFERÊNCIA, AÇO CA-25 DE 16,0 MM, PARA EXECUÇÃO DE PAVIMENTO DE CONCRETO  FORNECIMENTO E INSTALAÇÃO. AF_04/2022</t>
  </si>
  <si>
    <t>0,5260000</t>
  </si>
  <si>
    <t>COMPACTAÇÃO MECÂNICA DE SOLO PARA EXECUÇÃO DE RADIER, PISO DE CONCRETO OU LAJE SOBRE SOLO, COM COMPACTADOR DE SOLOS A PERCUSSÃO</t>
  </si>
  <si>
    <t>95264</t>
  </si>
  <si>
    <t>COMPACTADOR DE SOLOS DE PERCUSÃO (SOQUETE) COM MOTOR A GASOLINA, POTÊNCIA 3 CV - CHP DIURNO. AF_09/2016</t>
  </si>
  <si>
    <t>95265</t>
  </si>
  <si>
    <t>COMPACTADOR DE SOLOS DE PERCUSÃO (SOQUETE) COM MOTOR A GASOLINA, POTÊNCIA 3 CV - CHI DIURNO. AF_09/2016</t>
  </si>
  <si>
    <t>0,0420000</t>
  </si>
  <si>
    <t>PISO EM PEDRA PORTUGUESA ASSENTADO SOBRE ARGAMASSA SECA DE CIMENTO E AREIA, REJUNTADO COM CIMENTO</t>
  </si>
  <si>
    <t>366</t>
  </si>
  <si>
    <t>AREIA FINA - POSTO JAZIDA/FORNECEDOR (RETIRADO NA JAZIDA, SEM TRANSPORTE)</t>
  </si>
  <si>
    <t>367</t>
  </si>
  <si>
    <t>AREIA GROSSA - POSTO JAZIDA/FORNECEDOR (RETIRADO NA JAZIDA, SEM TRANSPORTE)</t>
  </si>
  <si>
    <t>0,0860000</t>
  </si>
  <si>
    <t>37,0700000</t>
  </si>
  <si>
    <t>4708</t>
  </si>
  <si>
    <t>PEDRA PORTUGUESA  OU PETIT PAVE, BRANCA OU PRETA</t>
  </si>
  <si>
    <t>88260</t>
  </si>
  <si>
    <t>CALCETEIRO COM ENCARGOS COMPLEMENTARES</t>
  </si>
  <si>
    <t>0,8420000</t>
  </si>
  <si>
    <t>0,4210000</t>
  </si>
  <si>
    <t>LIMPEZA MANUAL DE VEGETAÇÃO EM TERRENO COM ENXADA</t>
  </si>
  <si>
    <t>88266</t>
  </si>
  <si>
    <t>MAO DE OBRA - Técnico eletrotécnico, eletrônico e demais especialidades com encargos complementares</t>
  </si>
  <si>
    <t>MAO DE OBRA - Oficial (Pedreiro, Serralheiro, ladrilheiro, carpinteiro, armador, eletricista, marceneiro, serralheiro, soldador, gesseiro, montador, pintor, impermeabilizador e vidraceiro) com encargos complementares</t>
  </si>
  <si>
    <t>MAO DE OBRA -  Ajudante geral com encargos complementares</t>
  </si>
  <si>
    <t>MAO DE OBRA - Marceneiro especializado em manutenção de móveis - pequenos reparos e ajustes - com encargos complementares</t>
  </si>
  <si>
    <t>ITEM</t>
  </si>
  <si>
    <t>UNID.</t>
  </si>
  <si>
    <t>R$</t>
  </si>
  <si>
    <t>BDI (28,36%)</t>
  </si>
  <si>
    <t>TOTAL GERAL ITEM 5</t>
  </si>
  <si>
    <t>BDI DIFERENCIADO MATERIAIS E EQUIPAMENTOS (PEÇAS)</t>
  </si>
  <si>
    <t>AC</t>
  </si>
  <si>
    <t>S+G</t>
  </si>
  <si>
    <t>R</t>
  </si>
  <si>
    <t>DF</t>
  </si>
  <si>
    <t>I</t>
  </si>
  <si>
    <t>COFINS</t>
  </si>
  <si>
    <t>PIS</t>
  </si>
  <si>
    <t>ISS</t>
  </si>
  <si>
    <t>BDI</t>
  </si>
  <si>
    <r>
      <rPr>
        <b/>
        <sz val="18"/>
        <rFont val="Times New Roman"/>
        <family val="1"/>
      </rPr>
      <t xml:space="preserve"> DEMONSTRATIVO PREÇO ESTIMATIVO – </t>
    </r>
    <r>
      <rPr>
        <b/>
        <u/>
        <sz val="18"/>
        <rFont val="Times New Roman"/>
        <family val="1"/>
      </rPr>
      <t>MANUTENÇÃO PREVENTIVA</t>
    </r>
  </si>
  <si>
    <t>PLANILHA DE CUSTOS E FORMAÇÃO DE PREÇOS</t>
  </si>
  <si>
    <t>A</t>
  </si>
  <si>
    <t>Data de apresentação da proposta (dia/mês/ano)</t>
  </si>
  <si>
    <t>B</t>
  </si>
  <si>
    <t>Minicípio/UF</t>
  </si>
  <si>
    <t>Brasília/DF</t>
  </si>
  <si>
    <t>C</t>
  </si>
  <si>
    <t>Ano do Acordo, Convenção ou Dissídio Coletivo</t>
  </si>
  <si>
    <t>D</t>
  </si>
  <si>
    <t>E</t>
  </si>
  <si>
    <t>Mão de Obra vinculada à contratação</t>
  </si>
  <si>
    <t>Tipo de Serviço</t>
  </si>
  <si>
    <t>Classificação brasileira de Ocupações (CBO)</t>
  </si>
  <si>
    <t>Salário Normativo da categoria profissional</t>
  </si>
  <si>
    <t>Categoria profissional</t>
  </si>
  <si>
    <t>Data -base da categoria (dia/mês/ano)</t>
  </si>
  <si>
    <t>Eletricista</t>
  </si>
  <si>
    <t>Bombeiro</t>
  </si>
  <si>
    <t>COMPOSIÇÃO DA REMUNERAÇÃO</t>
  </si>
  <si>
    <t>Alíquotas</t>
  </si>
  <si>
    <t>Valor R$</t>
  </si>
  <si>
    <t>Salário Base</t>
  </si>
  <si>
    <t>Adicional de Periculosidade</t>
  </si>
  <si>
    <t>Adicional de Insalubridade</t>
  </si>
  <si>
    <t>Adicional noturno</t>
  </si>
  <si>
    <t>Adicional de hora noturna reduzida</t>
  </si>
  <si>
    <t>F</t>
  </si>
  <si>
    <t>Adicional de hora extra no feriado trabalhado</t>
  </si>
  <si>
    <t>TOTAL DA REMUNERAÇÃO - Módulo 1</t>
  </si>
  <si>
    <t>ENCARGOS E BENEFÍCIOS ANUAIS, MENSAIS E DIÁRIOS</t>
  </si>
  <si>
    <t>13º SALÁRIO E ADICIONAL DE FÉRIAS</t>
  </si>
  <si>
    <t>%</t>
  </si>
  <si>
    <t>13º Salário</t>
  </si>
  <si>
    <t>Adicional de Férias</t>
  </si>
  <si>
    <t>Incidência do Submódulo 2.2 (A+B)</t>
  </si>
  <si>
    <t>Total submódulo 2.1</t>
  </si>
  <si>
    <t>ENCARGOS PREVIDENCIÁRIOS (GPSs), FUNDO DE GARANTIA POR TEMPO DE SERVIÇOS(FGTS) E OUTRAS CONTRIBUIÇÕES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</si>
  <si>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</si>
  <si>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</si>
  <si>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</si>
  <si>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</si>
  <si>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</si>
  <si>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</si>
  <si>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</si>
  <si>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</si>
  <si>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FGTS</t>
  </si>
  <si>
    <t>Total submódulo 2.2</t>
  </si>
  <si>
    <t>BENEFÍCIOS MENSAIS E DIÁRIOS</t>
  </si>
  <si>
    <t xml:space="preserve">Transporte </t>
  </si>
  <si>
    <t>Auxílio Alimentação</t>
  </si>
  <si>
    <t xml:space="preserve">Seguro de vida, invalidez e funeral </t>
  </si>
  <si>
    <t>Total submódulo 2.3</t>
  </si>
  <si>
    <t>TOTAL MÓDULO 2</t>
  </si>
  <si>
    <t>PROVISÃO PARA RESCISÃO</t>
  </si>
  <si>
    <t>Aviso prévio trabalhado</t>
  </si>
  <si>
    <t>Incid submódulo 2.2 s/ aviso prévio trabalhado (A)</t>
  </si>
  <si>
    <t>-</t>
  </si>
  <si>
    <t>Aviso Prévio indenizado</t>
  </si>
  <si>
    <t>Incidência do FGTS s/ aviso prévio indenizado (D)</t>
  </si>
  <si>
    <t>Total Módulo 3</t>
  </si>
  <si>
    <t>REPOSIÇÃO DE PROFISSIONAL AUSENTE</t>
  </si>
  <si>
    <t>4.1</t>
  </si>
  <si>
    <t>AUSÊNCIAS LEGAIS</t>
  </si>
  <si>
    <t>Férias (remuneração do substituto)</t>
  </si>
  <si>
    <t>Ausências legais</t>
  </si>
  <si>
    <t>Licença paternidade</t>
  </si>
  <si>
    <t>Ausência por acidente de trabalho</t>
  </si>
  <si>
    <t>Afastamento maternidade</t>
  </si>
  <si>
    <t>Subtotal</t>
  </si>
  <si>
    <t>Incidência do submódulo 2.2</t>
  </si>
  <si>
    <t>Total Submódulo 4.1</t>
  </si>
  <si>
    <t>4.2</t>
  </si>
  <si>
    <t>INTRAJORNADA</t>
  </si>
  <si>
    <t>Intervalo para repouso ou alimentação</t>
  </si>
  <si>
    <t>Total Submódulo 4.2</t>
  </si>
  <si>
    <t>TOTAL MÓDULO 4</t>
  </si>
  <si>
    <t>INSUMOS DIVERSOS</t>
  </si>
  <si>
    <t>Uniforme</t>
  </si>
  <si>
    <t>Materiais de Consumo</t>
  </si>
  <si>
    <t>Equipamentos (depreciação)</t>
  </si>
  <si>
    <t>EPI's</t>
  </si>
  <si>
    <t xml:space="preserve">TOTAL DE INSUMOS - Módulo 5 </t>
  </si>
  <si>
    <t>SOMATÓRIO MÓDULOS 1, 2, 3, 4 E 5</t>
  </si>
  <si>
    <t>CUSTOS INDIRETOS, TRIBUTOS E LUCRO</t>
  </si>
  <si>
    <t>Custos Indiretos</t>
  </si>
  <si>
    <t>Lucro</t>
  </si>
  <si>
    <t>Fator F</t>
  </si>
  <si>
    <t>Preço (P)</t>
  </si>
  <si>
    <t xml:space="preserve">Tributos Federais </t>
  </si>
  <si>
    <t>Tributos Federais  - ISS</t>
  </si>
  <si>
    <t>TOTAL MÓDULO 6</t>
  </si>
  <si>
    <t>QUADRO RESUMO</t>
  </si>
  <si>
    <t>MÃO DE OBRA VINCULADA A EXECUÇÃO CONTRATUAL (VALOR POR EMPREGADO)</t>
  </si>
  <si>
    <t>VALOR TOTAL POR EMPREGADO (mês)</t>
  </si>
  <si>
    <t>QUADRO RESUMO DE VALORES DE MAO DE OBRA</t>
  </si>
  <si>
    <t>VALOR TOTAL MENSAL POR EMPREGADO</t>
  </si>
  <si>
    <t>Sinduscon/DF 
Sticombe/DF</t>
  </si>
  <si>
    <t>Sinduscon/DF 
Senge/DF</t>
  </si>
  <si>
    <t>Multa do FGTS s/ aviso prévio indenizado</t>
  </si>
  <si>
    <t>Multa do FGTS s/ aviso prévio trabalhado</t>
  </si>
  <si>
    <t>Engenheiro Civil</t>
  </si>
  <si>
    <t>Engenheiro Mecânico</t>
  </si>
  <si>
    <t>Sensor para torneira automatica de banheiro Deca 1180 com canopla</t>
  </si>
  <si>
    <t>MATERIAIS DE REPOSIÇÃO</t>
  </si>
  <si>
    <t xml:space="preserve">TOTAL GERAL ITENS </t>
  </si>
  <si>
    <t>Item</t>
  </si>
  <si>
    <t>PLANILHA SINTÉTICA DO ORÇAMENTO
MANUTENÇÃO CORRETIVA</t>
  </si>
  <si>
    <t>SERVIÇOS DE GESTÃO INTEGRADA DE ENGENHARIA NA MODELAGEM FACILITIES</t>
  </si>
  <si>
    <t>Grupo</t>
  </si>
  <si>
    <t>Valor unitario</t>
  </si>
  <si>
    <t>Gestão de facilities de engenharia</t>
  </si>
  <si>
    <t>posto</t>
  </si>
  <si>
    <t>Engenheiro Eletricista</t>
  </si>
  <si>
    <t>horas</t>
  </si>
  <si>
    <t>Técnico em Segurança do trabalho</t>
  </si>
  <si>
    <t>Auxiliar técnico de engenharia</t>
  </si>
  <si>
    <t>Operação e Manutenção Preventiva</t>
  </si>
  <si>
    <t>Encarregado geral</t>
  </si>
  <si>
    <t>Encarregado de ar condicionado</t>
  </si>
  <si>
    <t>Técnico eletroeletrônico</t>
  </si>
  <si>
    <t>Técnico eletromecânico</t>
  </si>
  <si>
    <t>Técnico em automação</t>
  </si>
  <si>
    <t>Técnico em audio e video</t>
  </si>
  <si>
    <t>Bombeiro Hidráulico</t>
  </si>
  <si>
    <t>Ajudante de manutenção</t>
  </si>
  <si>
    <t>Serviços mensais preventivos</t>
  </si>
  <si>
    <t>Manutenção preventiva de elevadores</t>
  </si>
  <si>
    <t>Mão de Obra 
sob demanda</t>
  </si>
  <si>
    <t>Operador de audio e video</t>
  </si>
  <si>
    <t>Técnico especializado automação/sistema de segurança</t>
  </si>
  <si>
    <t>Manutenção corretiva</t>
  </si>
  <si>
    <t>Materiais e peças de reposição</t>
  </si>
  <si>
    <t>Equipamentos</t>
  </si>
  <si>
    <t>Serviços eventuais</t>
  </si>
  <si>
    <t>Memória de Calculos e Justificativas</t>
  </si>
  <si>
    <t>Memória de Cálculos do Módulo 01 - Composição da Remuneração</t>
  </si>
  <si>
    <t>Media salarial</t>
  </si>
  <si>
    <t xml:space="preserve">Memória de Cálculos do Módulo 02 - Encargos e Benefícios Anuais, Mensais e Diários </t>
  </si>
  <si>
    <t>Submódulo 2.1 - 13º Salário e Adicional de Férias</t>
  </si>
  <si>
    <t xml:space="preserve">13º Salário </t>
  </si>
  <si>
    <t>Base de Calculo</t>
  </si>
  <si>
    <t>Memória de Cálculo dos Percentuais</t>
  </si>
  <si>
    <t>13º (décimo terceiro) Salário</t>
  </si>
  <si>
    <t>Módulo 2</t>
  </si>
  <si>
    <t xml:space="preserve">[(1/12)x100]
Art. 7º, VIII, CF/88; Lei 4090/62; Lei 4749/62 e Decreto 57155/65.                               </t>
  </si>
  <si>
    <t xml:space="preserve">[(1/3) /12)]
Conforme art 7º , XVII da CF/88: arts 129 a 153 da CLT. </t>
  </si>
  <si>
    <t>Total</t>
  </si>
  <si>
    <t>Somatório de (A+B)</t>
  </si>
  <si>
    <t>Incidência do submódulo 2.2 sobre 13º Salário e Adicional de Férias</t>
  </si>
  <si>
    <t>Anexo XII da IN Nº 05/2017</t>
  </si>
  <si>
    <t>Submódulo 2.2 - Encargos Previdenciários e FGTS</t>
  </si>
  <si>
    <t>Encargos Previdenciários e FGTS</t>
  </si>
  <si>
    <t>INSS - Art. 22, I, Lei 8.212/91</t>
  </si>
  <si>
    <t>Art 195, I, a, CF/88; Art. 22, Inciso I, da Lei nº 8.212/91</t>
  </si>
  <si>
    <t>Salário Educação - Art. 8º da Lei 8.029/90 e Lei 8.154/90</t>
  </si>
  <si>
    <t>Art. 212, §5º, CF/88; Lei 9766/98; Decreto-lei 1422/75; Lei 9766/98; Decreto 6003/2006</t>
  </si>
  <si>
    <t>Seguro Acidente de Trabalho / SAT / INSS</t>
  </si>
  <si>
    <t>art. 22, II, Lei 8.212/90, c/c o art 10, Lei 10666/2003; art 202-A do RPS
RAT ajustado = RAT x FAP
RAT: Conforme Anexo V - RPS (regulamento de previdencia social) - Decreto 10410_2020
FAP conforme Lei 10666 de 2023 - varia entre 0,50 a 2</t>
  </si>
  <si>
    <t>SESI OU SESC - Art.º 3º, Lei 8.036/90</t>
  </si>
  <si>
    <t>Art. 30, Lei n.º 8.036/90, c/c art. 1º, Lei 8.154/90; Decreto-lei 2.318/86</t>
  </si>
  <si>
    <t>SENAI OU SENAC - Decreto 2.318/86</t>
  </si>
  <si>
    <t>Decreto nº 2.318/86, c/c art. 1º, Lei 8.154/90</t>
  </si>
  <si>
    <t>Art. 8º, Lei nº 8.029/90 e Lei nº 8.154/90.</t>
  </si>
  <si>
    <t>INCRA - Lei 7.787/89 e DL 1.146/70</t>
  </si>
  <si>
    <t>Lei 2613/55; Art 1º, I, DL n.º 1.146/70.</t>
  </si>
  <si>
    <t>FGTS - Art. 15 da Lei 8.030/90 e Art. 7º, III da CF/88</t>
  </si>
  <si>
    <t>Art. 15, Lei nº 8.030/90 e Art. 7º, III, CF/88.</t>
  </si>
  <si>
    <t>Submódulo 2.3 Beneficios Mensais e Diarios</t>
  </si>
  <si>
    <r>
      <t xml:space="preserve">1) </t>
    </r>
    <r>
      <rPr>
        <b/>
        <sz val="12"/>
        <rFont val="Arial Narrow"/>
        <family val="2"/>
      </rPr>
      <t>Auxilio Transporte</t>
    </r>
    <r>
      <rPr>
        <sz val="12"/>
        <rFont val="Arial Narrow"/>
        <family val="2"/>
      </rPr>
      <t>: (5,50+3,50) x 2 x quant dias uteis</t>
    </r>
  </si>
  <si>
    <t xml:space="preserve">Valor: </t>
  </si>
  <si>
    <r>
      <t xml:space="preserve">2) </t>
    </r>
    <r>
      <rPr>
        <b/>
        <sz val="12"/>
        <rFont val="Arial Narrow"/>
        <family val="2"/>
      </rPr>
      <t>Auxilio Alimentação</t>
    </r>
    <r>
      <rPr>
        <sz val="12"/>
        <rFont val="Arial Narrow"/>
        <family val="2"/>
      </rPr>
      <t xml:space="preserve">: </t>
    </r>
  </si>
  <si>
    <t>O cálculo dos dias uteis mensal
Adotado o contido no Acórdão TCU nº 1.904 / 2007 - Plenário</t>
  </si>
  <si>
    <t>Escala semanal</t>
  </si>
  <si>
    <t>Memória de Cálculos do Módulo 3 - Provisão para Rescisão</t>
  </si>
  <si>
    <t>Provisões para Rescisão</t>
  </si>
  <si>
    <t>Aviso Prévio Indenizado</t>
  </si>
  <si>
    <t>(1/12) x 0,10
Estimativa adotada de 10% dos empregados do contrato poderão ser demitidos sem cumprimento do aviso prévio (probabilidade de ocorrência).
Estabelecido no ACT vigente Art. 7º, XXI, CF/88, 477, 487 e 491 CLT.</t>
  </si>
  <si>
    <t>Incidência do FGTS sobre Aviso Prévio Indenizado</t>
  </si>
  <si>
    <t>Conforme Súmula nº 305 do TST e o Acórdão TCU nº 2.217/2010 - Plenário. Formula: (8x0,42)/100 onde: 8 é o percentual de FGTS e 0,42 Aviso Previo Indenizado</t>
  </si>
  <si>
    <t>Multa sobre FGTS sobre o Aviso Prévio Indenizado</t>
  </si>
  <si>
    <t>(remuneração+13º+adicional de férias) x 0,80 x 0,40 x 0,10
Art 18, 1º, lei 8036/1990
A ser aplicado sobre a remuneração + submodulo 2.1
8% FGTS mensal
40 % multa sobre os depósitos
10% probabilidade de ocorrência</t>
  </si>
  <si>
    <t>Aviso Prévio Trabalhado</t>
  </si>
  <si>
    <t>{[(1/30)/12]x 7x100}
Art. 7º, XXI, CF/88; art 487 e 488 da CL; Lei 12506/211
O empregado poderá, com base na legislação, faltar ao serviço durante 7 dias</t>
  </si>
  <si>
    <t>Incidencia dos encargos do submódulo 2.2 sobre aviso prévio trabalhado</t>
  </si>
  <si>
    <t>Conforme Art. 12 da  Lei nº 13.932 de 2019 fica extinta a contribuição social instituída por meio do art. 1º da Lei Complementar nº 110, de 29 de junho de 2001. Conforme Resolução CNJ 169/2013.</t>
  </si>
  <si>
    <t>Multa sobre FGTS sobre o aviso prévio trabalhado</t>
  </si>
  <si>
    <t>Art 18, 1º, lei 8036/1990
A ser aplicado sobre a remuneração + submodulo 2.1
8% FGTS mensal
40% multa sobre os depósitos</t>
  </si>
  <si>
    <t>Somatório de (A+B+C+D+E+F)</t>
  </si>
  <si>
    <t xml:space="preserve">Memória de Cálculos do Módulo 4 - Custo de Reposição do Profissional Ausente </t>
  </si>
  <si>
    <t>Base de Cálculo</t>
  </si>
  <si>
    <t>Substituto na Cobertura de Férias</t>
  </si>
  <si>
    <t>Módulo 4</t>
  </si>
  <si>
    <t>(1/12)x 100
Conforme art 7º , XVII da CF/88: arts 129 a 153 da CLT</t>
  </si>
  <si>
    <t>Substituto na Cobertura de Ausências Legais</t>
  </si>
  <si>
    <t>[(1/30)*5/12]
Art 473, CLT
Não tem índice estabelecido. Estimativa de 5 (cinco) ausências por ano.</t>
  </si>
  <si>
    <t>Substituto na Cobertura de Licença Paternidade</t>
  </si>
  <si>
    <t>Formula: ((5/30)/12 x 0,05 x 100)
Onde: 0,05 corresponde ao percentual de ocorrências
Art 473, III, CLT, c/c Art. 7º, XIX, CF/88 e art 10, § 1º, II, ADCT, CF/88.
Estimativa de 5% dos funcionários usufruindo 5 (cinco) dias da licença por ano.</t>
  </si>
  <si>
    <t>Substituto na Cobertura de Ausências por Acidente de Trabalho</t>
  </si>
  <si>
    <t>[(1/30)x3]/12]
Art. 19 a 23 e 60 da Lei n.º 8.213/91, c/c art 75, RPS.
Estimativa de 3 faltas no ano por motivo de doença acidentária ou acidente de trabalho</t>
  </si>
  <si>
    <t>Substituto na Cobertura de Afastamento Maternidade</t>
  </si>
  <si>
    <t>[((1+1/3)x(4/12))/12]*1%
Art. 7º, XVIII, CF/88, c/c o art. 392 e 392-A da CLT.
Probabilidade de ocorrência de 1%</t>
  </si>
  <si>
    <t>SUBTOTAL</t>
  </si>
  <si>
    <t>Somatóriio de ( A+B+C+D+E+F+G)</t>
  </si>
  <si>
    <t>Incidência do submódulo 2.2 sobre Ausências Legais</t>
  </si>
  <si>
    <t>TOTAL SUBMÓDULO 4.1</t>
  </si>
  <si>
    <t>Memória de Cálculos do Módulo 06 - Custos Indiretos, Tributos e Lucro</t>
  </si>
  <si>
    <t>CUSTOS INDIRETOS</t>
  </si>
  <si>
    <t>TRIBUTOS</t>
  </si>
  <si>
    <t>a)</t>
  </si>
  <si>
    <t>b)</t>
  </si>
  <si>
    <t>c)</t>
  </si>
  <si>
    <t>Total tributos</t>
  </si>
  <si>
    <t>LUCRO</t>
  </si>
  <si>
    <t>Declaração</t>
  </si>
  <si>
    <t>Declaramos arcar com os ônus decorrente de eventual equívoco no dimensionamento dos quantitativos de nossa proposta, inclusive quanto aos custos variáveis decorrentes de fatores futuros e incertos, tais como os valores providos com o quantitativo de vale tranporte, devendo complementá-los, caso o previsto incialmente na proposta não seja satisfatório para o atendimento do objeto da licitação.</t>
  </si>
  <si>
    <t>Técnico Segurança</t>
  </si>
  <si>
    <t>Auxiliar técnico Engenharia</t>
  </si>
  <si>
    <t>Encarregado Geral</t>
  </si>
  <si>
    <t>Técnico Eletroeletrônico</t>
  </si>
  <si>
    <t>Técnico Eletromecânico</t>
  </si>
  <si>
    <t>Técnico automação</t>
  </si>
  <si>
    <t>Técnico audio e video</t>
  </si>
  <si>
    <t>Auxiliar de manutenção</t>
  </si>
  <si>
    <t>Gestão e manutenção predial</t>
  </si>
  <si>
    <t xml:space="preserve">Capacitores de partida (capacitor Suryha 50?f ±5% 380v e capacitor Suryha 5?f ±5% 380v) </t>
  </si>
  <si>
    <t xml:space="preserve">unid. </t>
  </si>
  <si>
    <t xml:space="preserve">Gás R22 cilindro de 13,620 kg </t>
  </si>
  <si>
    <t xml:space="preserve">Manta filtrante G3 </t>
  </si>
  <si>
    <t xml:space="preserve">Luvas de cobre até 1,5” </t>
  </si>
  <si>
    <t>Unid.</t>
  </si>
  <si>
    <t>Rolamento 6203 ou 6206 ou 6205 ZC3 ou 6204 ZC3</t>
  </si>
  <si>
    <t xml:space="preserve">Tubo de cobre 1/4" </t>
  </si>
  <si>
    <t xml:space="preserve">m </t>
  </si>
  <si>
    <t xml:space="preserve">Tubo de cobre 1/2" </t>
  </si>
  <si>
    <t>Tubo de cobre 5/8</t>
  </si>
  <si>
    <t>Tubo de cobre 3/8</t>
  </si>
  <si>
    <t>Tubo de cobre 3/4</t>
  </si>
  <si>
    <t>Controle remoto Sem fio  (PCLH3A)</t>
  </si>
  <si>
    <t>Filtros de ar (KPI) (HLD30457A)</t>
  </si>
  <si>
    <t>CJ Bomba Dreno (17B30151A)</t>
  </si>
  <si>
    <t>Unidade Condensadora de 10,0HP - Cooling Only - Condensação a Ar - 380V/3ph - Modular - Família New Set Free Sigma (RAS10FSNC7B)</t>
  </si>
  <si>
    <t>Unidade Condensadora de 12,0HP - Cooling Only - Condensação a Ar - 380V/3ph - Modular - Família New Set Free Sigma (RAS12FSNC7B)</t>
  </si>
  <si>
    <t>Unidade Evaporadora do tipo Embutido de 1,0 HP - Alta Pressão - 220V/1ph - incluir filtro de Ar, controle remoto e receptor separadamente - Família Set Free (RPI1,0FSNQHIZ)</t>
  </si>
  <si>
    <t xml:space="preserve">Serviço de rebobinamento de motores elétricos </t>
  </si>
  <si>
    <t>sv</t>
  </si>
  <si>
    <t>Compressor rotativo hitachi 24000 btu 220V</t>
  </si>
  <si>
    <t>Suportede Teto p/ TV de 75"</t>
  </si>
  <si>
    <t>KIT SUPORTE VEGA M6 PARA VIDEOWALL TV 55"</t>
  </si>
  <si>
    <t xml:space="preserve">LOUSA DIGITAL INTERATIVA 86" ULTRA HD </t>
  </si>
  <si>
    <t>PLACA ELETRÔNICA ELEVADOR 591838</t>
  </si>
  <si>
    <t>INTERFONE ELEVADOR 51914826</t>
  </si>
  <si>
    <t>INTERFONE ELEVADOR 51922225</t>
  </si>
  <si>
    <t>DITADOR PORTA ELEVADOR 51969760</t>
  </si>
  <si>
    <t>COP5-K 55503482</t>
  </si>
  <si>
    <t>ALARME CABINA ELEVADOR 55503535</t>
  </si>
  <si>
    <t>INDICADOR ELEVADOR 55503774</t>
  </si>
  <si>
    <t>CINTA CABINA ELEVADOR 59101391</t>
  </si>
  <si>
    <t>INDICADOR ELEVADOR 59324210_OC</t>
  </si>
  <si>
    <t>BARREIRA MODULAR TD0146X004</t>
  </si>
  <si>
    <t xml:space="preserve">AR CONDICIONADO </t>
  </si>
  <si>
    <t>SOM</t>
  </si>
  <si>
    <t>ELEVADOR</t>
  </si>
  <si>
    <t>OBJETO: Contratação de empresa especializada de engenharia para prestação dos serviços contínuos, na modelagem facilities, para operação e gerenciamento da manutenção predial preventiva, corretiva e preditiva, com fornecimento de peças, materiais e mão de obra, bem como a realização de serviços eventuais e evolutivos, nos sistemas, equipamentos e instalações prediais utilizados pelo Conselho Federal de Engenharia e Agronomia.</t>
  </si>
  <si>
    <t>CCT Sinduscon x Senge</t>
  </si>
  <si>
    <t>6) Seguro de vida</t>
  </si>
  <si>
    <t>CCT Sinduscon x Senge - (15.809,00/12)*0,005 - 5% probabilidade</t>
  </si>
  <si>
    <t>TCU</t>
  </si>
  <si>
    <t>Sindicato (para fins de balizamento)</t>
  </si>
  <si>
    <t>CCT</t>
  </si>
  <si>
    <t>CCT Seac x Sintec</t>
  </si>
  <si>
    <t>demais empregados</t>
  </si>
  <si>
    <t>engenheiros</t>
  </si>
  <si>
    <t>Balizamento posto encarregado geral</t>
  </si>
  <si>
    <t>SECONCI</t>
  </si>
  <si>
    <t>Adotado -  4321-5 Instalação e manutenção elétrica - alíquota 3%
https://www.planalto.gov.br/ccivil_03/decreto/D3048anexov-vol1.htm
FAP adotado -  2,00, de modo a contemplar o custo máximo possível</t>
  </si>
  <si>
    <t>Conforme CCT</t>
  </si>
  <si>
    <t>Somatório de (A+B+C+D+E+F+G+H+I)</t>
  </si>
  <si>
    <t>Alíquota para os tributos (ISS. COFINS e PIS) foram definidos utilizando o regime de tributação de Lucro REAL. A licitante deve elaborar sua proposta e, por conseguinte, sua planilha com base no regime de tributação ao qual se submete.Devido a tributação da futura contratada. Deverá ser comprovado junto com a proposta mediante apresentação de documentos. Adotamos valores referenciais e estimativos</t>
  </si>
  <si>
    <t>Decreto 25.508/2005
Art. 38. As alíquotas do imposto são as seguintes:
I - 2% (dois por cento) para os serviços listados:
.....
g) nos subitens 7.02, 7.03, 7.04, 7.05, 7.17 e 7.19 da lista do Anexo I;
7.02 - Execução, por administração, empreitada ou subempreitada, de obras de construção civil, hidráulica ou elétrica e de outras obras semelhantes, inclusive sondagem, perfuração de poços, escavação, drenagem e irrigação, terraplanagem, pavimentação, concretagem e a instalação e montagem de produtos, peças e equipamentos (exceto o fornecimento de mercadorias produzidas pelo prestador de serviços fora do local da prestação dos serviços, que fica sujeito ao ICMS).
7.03 - Elaboração de planos diretores, estudos de viabilidade, estudos organizacionais e outros, relacionados com obras e serviços de engenharia; elaboração de anteprojetos, projetos básicos e projetos executivos para trabalhos de engenharia.
7.04 - Demolição.
7.05 - Reparação, conservação e reforma de edifícios, estradas, pontes, portos e congêneres (exceto o fornecimento de mercadorias produzidas pelo prestador dos serviços, fora do local da prestação dos serviços, que fica sujeito ao ICMS).</t>
  </si>
  <si>
    <t xml:space="preserve">Os custos indiretos são calculados mediante incidência de um percentual sobre o somatório da remuneração, benefícios mensais e diários, insumos diversos, encargos sociais e trabalhistas. De forma estimativa adotou-se o percentual de 5%
</t>
  </si>
  <si>
    <t>O Acodão do TCU 2622/2013 - plenário estabelece limites para o BDI relacioandos a obras, onde entendemos não aplicar-se em mão de obra dedicada, porém utilizou-se por similaridades.</t>
  </si>
  <si>
    <t>É o ganho decorrente da exploração da atividade econômica. O lucro é calculado mediante incidência de um percentual sobre o faturamento. Para fins de legislação do imposto de renda o lucro pode ser real, presumido ou arbitrado.
Alíquota considerada a paritir das recomendação contida no acódão 2622/2013 do TCU</t>
  </si>
  <si>
    <t>Encarregado
Ar condic</t>
  </si>
  <si>
    <t>Auxiliar tecnico de engenharia</t>
  </si>
  <si>
    <t xml:space="preserve">Suporte p/ palco C/ Rodízios Para TV 27 À 55 Pol </t>
  </si>
  <si>
    <t xml:space="preserve">Suporte De Chão C/ Rodízios Para TV 27 À 55 Pol </t>
  </si>
  <si>
    <t>Suporte De Piso Para TV até 85" Pol</t>
  </si>
  <si>
    <t>CABO DISPLAY PORT 2.0 3D 4K 2M OU SIMILAR</t>
  </si>
  <si>
    <t>CABO HDMI 2.0 3D 4K 3M OU SIMILAR</t>
  </si>
  <si>
    <t>CABO HDMI 2.0 3D 4K 5M OU SIMILAR</t>
  </si>
  <si>
    <t>CABO HDMI 2.0 3D 4K 10M OU SIMILAR</t>
  </si>
  <si>
    <t>CORREDIÇA CONTRAPESO 105961</t>
  </si>
  <si>
    <t>CORREDIÇA CABINA ELEVADOR 105963</t>
  </si>
  <si>
    <t>BATERIA REGULADA POR VÁLVULA 432789</t>
  </si>
  <si>
    <t>BATERIA REGULADA POR VÁLVULA  432791</t>
  </si>
  <si>
    <t>PLACA ELETRÔNICA ELEVADOR 560220</t>
  </si>
  <si>
    <t>PLACA ELETRÔNICA ELEVADOR 591820</t>
  </si>
  <si>
    <t>PLACA ELETRÔNICA ELEVADOR 591843</t>
  </si>
  <si>
    <t>PLACA ELETRÔNICA ELEVADOR 591866</t>
  </si>
  <si>
    <t>PLACA ELETRÔNICA ELEVADOR 591886</t>
  </si>
  <si>
    <t>PLACA ELETRÔNICA ELEVADOR 594154</t>
  </si>
  <si>
    <t>PLACA ELETRÔNICA ELEVADOR 594157</t>
  </si>
  <si>
    <t>SOQUETE ENCAIXE LÂMPADA 1543296</t>
  </si>
  <si>
    <t>CONTATO LIMITADOR VELOC 2927985</t>
  </si>
  <si>
    <t>ANEL O  6685609</t>
  </si>
  <si>
    <t>PROTETOR CONTRAPESO 51921717</t>
  </si>
  <si>
    <t>INTERCOMUNICADOR CABINA 51922790</t>
  </si>
  <si>
    <t>INTERCOMUNICADOR CABINA 51931226</t>
  </si>
  <si>
    <t>CJ COP5B 10 LA (MEC 10 TEC) 51820151</t>
  </si>
  <si>
    <t>CJ COP5B 10 LA (MEC 10 TEC) 51820152</t>
  </si>
  <si>
    <t>LÂMPADA LED TUBULAR 51946231</t>
  </si>
  <si>
    <t>INTERCOMUNICADOR CABINA 51946711</t>
  </si>
  <si>
    <t>GUARNIÇÃO GUIA ELEVADOR 52513669</t>
  </si>
  <si>
    <t>FONTE ALIMENTAÇÃO 55503909</t>
  </si>
  <si>
    <t>BOTOEIRA CHAMADA/SERVIÇO 55504810</t>
  </si>
  <si>
    <t>BOTOEIRA CHAMADA/SERVIÇO 55504811</t>
  </si>
  <si>
    <t>BOTOEIRA CHAMADA/SERVIÇO 55504812</t>
  </si>
  <si>
    <t>VENTILADOR CABINA 57623106</t>
  </si>
  <si>
    <t>GUARNIÇÃO GUIA ELEVADOR 59311751</t>
  </si>
  <si>
    <t>MODULO OPERADOR PORTA 59313503</t>
  </si>
  <si>
    <t>PROTEÇÃO CABINA ELEVADOR 59316976</t>
  </si>
  <si>
    <t>BOTOEIRA CHAMADA/SERVIÇO 59327696</t>
  </si>
  <si>
    <t>BOTOEIRA CHAMADA/SERVIÇO 59327698</t>
  </si>
  <si>
    <t>BOTOEIRA CHAMADA/SERVIÇO 59327756</t>
  </si>
  <si>
    <t>ENCODER MAQUINA ELEVADOR 59601936</t>
  </si>
  <si>
    <t>MODULO QUADRO COMANDO 59712758</t>
  </si>
  <si>
    <t xml:space="preserve">INVERSO DE FREQUENCIA  </t>
  </si>
  <si>
    <t>Operador de audio e vídeo</t>
  </si>
  <si>
    <t>CUSTO HORÁRIO POR EMPREGADO</t>
  </si>
  <si>
    <t xml:space="preserve">Profissional </t>
  </si>
  <si>
    <t>Custo horário</t>
  </si>
  <si>
    <t>Memória de cálculo</t>
  </si>
  <si>
    <t>Conforme planilha de custos acima</t>
  </si>
  <si>
    <t>Custo diário</t>
  </si>
  <si>
    <t>RESUMO CUSTOS DE MÃO DE OBRA SOB DEMANDA</t>
  </si>
  <si>
    <t>Para a remuneração do operador de áudio utilizou-se pesquisade preços de mercado para determinar o salário mensal, considerando a ausência de norma coletiva para o tipo de empresa que se pretende.</t>
  </si>
  <si>
    <t>Operador de áudio</t>
  </si>
  <si>
    <t>média salarial</t>
  </si>
  <si>
    <t>CCT SeacxSinrad</t>
  </si>
  <si>
    <t>https://www.radialistasdf.com.br/views/arquivos/1739886456.pdf</t>
  </si>
  <si>
    <t>CNJ</t>
  </si>
  <si>
    <t>Contrato CNMP - valor posto - 12.231,53 - https://www.cnmp.mp.br/portal/images/Transparencia/contratos/006_2022_TA_05.pdf</t>
  </si>
  <si>
    <t>camara</t>
  </si>
  <si>
    <t>=36*4 = 144h</t>
  </si>
  <si>
    <t>Cotnrato camara - https://www.camara.leg.br/licitacoes-e-contratos/contratos/01-40-2025</t>
  </si>
  <si>
    <t>Sinapi 101390 - posto R$ 6.531,29</t>
  </si>
  <si>
    <t>Valor salário considerando 70,19% de encargos sociais</t>
  </si>
  <si>
    <t>Custo mensal</t>
  </si>
  <si>
    <t>Atlas</t>
  </si>
  <si>
    <t>Honix</t>
  </si>
  <si>
    <t>Média</t>
  </si>
  <si>
    <t>Cont Confea</t>
  </si>
  <si>
    <t>Item 90777 - compoisção SINAPI 02/2025</t>
  </si>
  <si>
    <t>Quantidade MENSAL</t>
  </si>
  <si>
    <t>Valor 
MENSAL</t>
  </si>
  <si>
    <t>Valor
 ANUAL</t>
  </si>
  <si>
    <t>Encarregados</t>
  </si>
  <si>
    <t>Demais empregados</t>
  </si>
  <si>
    <t>Par de meia</t>
  </si>
  <si>
    <t>Valor total anual</t>
  </si>
  <si>
    <t>Total mensal por funcionário (9)</t>
  </si>
  <si>
    <t>Furadeira de impacto profissional</t>
  </si>
  <si>
    <t xml:space="preserve">Talhadeira </t>
  </si>
  <si>
    <t>Marreta 1kg</t>
  </si>
  <si>
    <t>MASSA EPOXI BICOMPONENTE (tipo araldite)</t>
  </si>
  <si>
    <t>0013</t>
  </si>
  <si>
    <t>Fita crepe 25mm x 50m</t>
  </si>
  <si>
    <t>Fita isolante 19mm x 20m</t>
  </si>
  <si>
    <t>0404</t>
  </si>
  <si>
    <t>Fita isolante auto fusão 19mm</t>
  </si>
  <si>
    <t>Flanela 30 x 40cm</t>
  </si>
  <si>
    <t>Graxa lubrificante</t>
  </si>
  <si>
    <t>Lona plástica pesada</t>
  </si>
  <si>
    <t>Vassoura com cabo</t>
  </si>
  <si>
    <t>Rodo borracha dupla com cabo</t>
  </si>
  <si>
    <t>Placa de carpete 60x60 instalada em fibra 100% nylon , fio bouclê, na cor padrão do plenario</t>
  </si>
  <si>
    <t>tubo</t>
  </si>
  <si>
    <t>Silicone PU 40 para juntas - 310ml</t>
  </si>
  <si>
    <t>00142</t>
  </si>
  <si>
    <t>Chuveiro 5500W</t>
  </si>
  <si>
    <t>2373</t>
  </si>
  <si>
    <t>Oleo diesel S-500 ou S-10</t>
  </si>
  <si>
    <t>4221</t>
  </si>
  <si>
    <t>l</t>
  </si>
  <si>
    <t>MAO DE OBRA -  Encarregado geral com encargos complementares</t>
  </si>
  <si>
    <t>90776</t>
  </si>
  <si>
    <t>90770</t>
  </si>
  <si>
    <t>MAO DE OBRA - Arquiteto senior com encargos complementares</t>
  </si>
  <si>
    <t>100301</t>
  </si>
  <si>
    <t>MAO DE OBRA - Engenheiro senior com encargos complementares</t>
  </si>
  <si>
    <t>Media 
compras.gov</t>
  </si>
  <si>
    <t>Media 
Compras.gov</t>
  </si>
  <si>
    <t>Carrinho de mão polietileno</t>
  </si>
  <si>
    <t>Jogo de chave de fenda com 5 pç</t>
  </si>
  <si>
    <t>Jogo de chave philips com 5 pç</t>
  </si>
  <si>
    <t>Jogo de chaves de boca, 6 a 22mm, 10 pç</t>
  </si>
  <si>
    <t>Jogo de chave ALLEN 1,5mm à 10mm, 9 pçs</t>
  </si>
  <si>
    <t>Jogo de chave hexagonal de 1/16 a 3/8, 10 pçs</t>
  </si>
  <si>
    <t>Jogo de chaves Torx L de T4 à T30, 9 pçs</t>
  </si>
  <si>
    <t>Testador de cabo de rede RJ11e RJ45</t>
  </si>
  <si>
    <t>Máquina de solda portatil</t>
  </si>
  <si>
    <t>Abraçadeira de Nylon 30 cm</t>
  </si>
  <si>
    <t>Cola (adesivo pvc 850g)</t>
  </si>
  <si>
    <t>Decapante (Thinner 4288)</t>
  </si>
  <si>
    <t>Detergente neutro</t>
  </si>
  <si>
    <t>Disco de lixa ferro</t>
  </si>
  <si>
    <t>Esponja</t>
  </si>
  <si>
    <t>Espuma para vedação (espuma de poliuretano 500ml)</t>
  </si>
  <si>
    <t>Etiqueta adesiva para rotulador (5m)</t>
  </si>
  <si>
    <t>Fita aluminizada (48mm x 50m)</t>
  </si>
  <si>
    <t>Fita silvertape (48mmx50m)</t>
  </si>
  <si>
    <t>Fita silvertape (preta) (48mmx50m)</t>
  </si>
  <si>
    <t>Folha de lixa de ferro</t>
  </si>
  <si>
    <t>Higienizador de ar condicionado aprovado pela ANVISA (frasco 290ml)</t>
  </si>
  <si>
    <t>Pasta fluxo (fluxo para solda PRATA 250g)</t>
  </si>
  <si>
    <t>Pasta térmica - bisnaga c/ 50g</t>
  </si>
  <si>
    <t>Solda elétrica em fio</t>
  </si>
  <si>
    <t>Solda prata</t>
  </si>
  <si>
    <t>Terminais elétricos (tipo olhal simples)</t>
  </si>
  <si>
    <t>Vaselina (pote 500g)</t>
  </si>
  <si>
    <t>Limpa contato spray 500g</t>
  </si>
  <si>
    <t>Parafuso c/ porca gaiola para rack</t>
  </si>
  <si>
    <t>Lixa madeira/parede</t>
  </si>
  <si>
    <t>Alicate amperímetro digital 700k (0-1000 A)</t>
  </si>
  <si>
    <t>Alicate de bico meia cana reto com cabo isolado 6”</t>
  </si>
  <si>
    <t>Alicate de corte diagonal com cabo isolado 6”</t>
  </si>
  <si>
    <t>Alicate isolante universal com garra 8”</t>
  </si>
  <si>
    <t>Anemômetro a fio quente com captadores para grelha</t>
  </si>
  <si>
    <t>Arco de serra metálicos e reguláveis 12"</t>
  </si>
  <si>
    <t>Bomba de vácuo de 12 CFM</t>
  </si>
  <si>
    <t>Chave catraca para soquetes encaixe 1/2"</t>
  </si>
  <si>
    <t>Chave de teste neon</t>
  </si>
  <si>
    <t>Chave ajustável 8”</t>
  </si>
  <si>
    <t>Chave ajustável 12"</t>
  </si>
  <si>
    <t>Cilindro nitrogênio com regulador 10m³</t>
  </si>
  <si>
    <t>Conjunto flangeador de tubos 278</t>
  </si>
  <si>
    <t>Engraxadeira manual 1 kg</t>
  </si>
  <si>
    <t>Lavadora Alta Pressão</t>
  </si>
  <si>
    <t>Manifold completo de cinco conexões com visor de líquido e cinco mangueiras com resistência a alta pressão do gás R410A</t>
  </si>
  <si>
    <t>Megôhmetro até 1000 V</t>
  </si>
  <si>
    <t>Pente de aletas universal 352 e termômetro digital tipo espeto</t>
  </si>
  <si>
    <t>Pistola aplicadora de silicone profissional</t>
  </si>
  <si>
    <t>Rebitadeira para rebite pop profissional</t>
  </si>
  <si>
    <t>Recicladora de gás refrigerante para todos os tipos de gases exceto amônia</t>
  </si>
  <si>
    <t>Saca polia 2 garras</t>
  </si>
  <si>
    <t>Saca polias com três garras</t>
  </si>
  <si>
    <t>Tacômetro digital com mira a laser</t>
  </si>
  <si>
    <t>Tanque de recolhimento de gás refrigerante 30 libras, para 23 kg com registro e válvula de segurança</t>
  </si>
  <si>
    <t>Vacuômetro digital</t>
  </si>
  <si>
    <t>Válvula perfuradora de tubos 3/16" a 3/8"</t>
  </si>
  <si>
    <t>Laudo qualidade de água</t>
  </si>
  <si>
    <t>Fechadura eletronica, smart lock, digital</t>
  </si>
  <si>
    <t>Fita antiderrapante preta rolo 5m</t>
  </si>
  <si>
    <t>Quadro de vidro temperado 2m x 1m</t>
  </si>
  <si>
    <t>Contator ABB EN20-20N 24V</t>
  </si>
  <si>
    <t>Boia de nivel eletrica, sensor 15a, cabo 5m</t>
  </si>
  <si>
    <t>1612</t>
  </si>
  <si>
    <t>ponto</t>
  </si>
  <si>
    <t>Análise fisico quimica e bacteriológica de água com emissão de laudo</t>
  </si>
  <si>
    <t>Locação de caçamba estacionária com capacidade de 5m³ de resíduos</t>
  </si>
  <si>
    <t>Locação de caçamba</t>
  </si>
  <si>
    <t>pesquisa
gov.br</t>
  </si>
  <si>
    <t>Lâmpada Eletrônica espiral 85w x 220v – Base E27</t>
  </si>
  <si>
    <t>Lâmpada led halopin silic 86-240v 3w 6500k– base G9</t>
  </si>
  <si>
    <t>Lâmpada PAR 20 LED cor branca para uso externo - 220V, equivalência 50W - E27</t>
  </si>
  <si>
    <t>PROJETOR SUPERLED 200W 6500K IP-65 SLIM N.L, 31x28cm</t>
  </si>
  <si>
    <t>Folha de gelatina colorida uso fotografico, 50 x 60 cm, esp 3mm, para iluminação</t>
  </si>
  <si>
    <t>MONITOR VIDEO WALL FHD 55'' (55VM5J-H LG)</t>
  </si>
  <si>
    <t>RAT ajustado</t>
  </si>
  <si>
    <t>Preço unitario adotado</t>
  </si>
  <si>
    <t>00122</t>
  </si>
  <si>
    <t>Fita dupla face extra forte (12mm x 2m)</t>
  </si>
  <si>
    <t>Terminais tipo forquilha para cabos de 1,5mm²</t>
  </si>
  <si>
    <t>00408</t>
  </si>
  <si>
    <t>Buchas Fixação 6mm com parafuso</t>
  </si>
  <si>
    <t>Buchas Fixação 8mm com parafuso</t>
  </si>
  <si>
    <t>Buchas Fixação 10mm com parafuso</t>
  </si>
  <si>
    <t>Buchas Fixação 8mm para drywall  com parafuso</t>
  </si>
  <si>
    <t xml:space="preserve">Eletrodo para solda </t>
  </si>
  <si>
    <t>Lâmina para arco de serra 12pol</t>
  </si>
  <si>
    <t>Solda phoscoper em vareta 500mm</t>
  </si>
  <si>
    <t>Valor unitário mensal por profissional (9)</t>
  </si>
  <si>
    <t>Aspirador de pó portátil profissional</t>
  </si>
  <si>
    <t>Valor total estimado</t>
  </si>
  <si>
    <t>Lanterna grande led</t>
  </si>
  <si>
    <t>Nível precisão a laser</t>
  </si>
  <si>
    <t>Chave canhão 6mm, 7mm, 8mm, 10mm, 12 mm, conjunto</t>
  </si>
  <si>
    <t>Chave catraca conjugada para refrigeração de 1/4" 3/16" 3/8" 5/16", conjunto</t>
  </si>
  <si>
    <t>Escova de aço inox p/ limpeza de solda, com cabo</t>
  </si>
  <si>
    <t>Termo-higro-anemômetro digital</t>
  </si>
  <si>
    <t>Depreciação - valor residual de 20% - vida útil 60 meses</t>
  </si>
  <si>
    <t>Manutenção - adotado 0,5% a.m. (O coeficiente adotado foi de 6x10-5, com base no TCPO - Ed. Pini para equipamentos de pequeno porte (~1,5HP), com utilização, em média, de 83 h/mês</t>
  </si>
  <si>
    <t>Valor mensal por posto - 9 postos</t>
  </si>
  <si>
    <t>Camiseta de algodão com logo</t>
  </si>
  <si>
    <t>Camisa de botão manga curta com logo</t>
  </si>
  <si>
    <r>
      <rPr>
        <b/>
        <sz val="16"/>
        <rFont val="Times New Roman"/>
        <family val="1"/>
      </rPr>
      <t xml:space="preserve"> DEMONSTRATIVO PREÇO ESTIMATIVO – </t>
    </r>
    <r>
      <rPr>
        <b/>
        <u/>
        <sz val="16"/>
        <rFont val="Times New Roman"/>
        <family val="1"/>
      </rPr>
      <t>MANUTENÇÃO CORRETIVA</t>
    </r>
  </si>
  <si>
    <t>39391</t>
  </si>
  <si>
    <t>39664</t>
  </si>
  <si>
    <t>39666</t>
  </si>
  <si>
    <t>39660</t>
  </si>
  <si>
    <t>39665</t>
  </si>
  <si>
    <t>39662</t>
  </si>
  <si>
    <t>12725</t>
  </si>
  <si>
    <t>Duto Flexível 10" aluminizado - rolo 10m</t>
  </si>
  <si>
    <t>pesquisa Atlas</t>
  </si>
  <si>
    <t>18.1</t>
  </si>
  <si>
    <t>18. MATERIAIS DE REPOSIÇÃO</t>
  </si>
  <si>
    <t>19. EQUIPAMENTOS</t>
  </si>
  <si>
    <t>FORRO EM PLACAS DE GESSO, PARA AMBIENTES COMERCIAIS</t>
  </si>
  <si>
    <t>GESSEIRO COM ENCARGOS COMPLEMENTARES</t>
  </si>
  <si>
    <t>SISAL EM FIBRA / ESTOPA SISAL PARA GESSO</t>
  </si>
  <si>
    <t>PLACA DE GESSO PARA FORRO, *60 X 60* CM, ESPESSURA DE 12 MM (SEM COLOCACAO)</t>
  </si>
  <si>
    <t>GESSO EM PO PARA REVESTIMENTOS/MOLDURAS/SANCAS E USO GERAL</t>
  </si>
  <si>
    <t>ARAME GALVANIZADO 18 BWG, D = 1,24MM (0,009 KG/M)</t>
  </si>
  <si>
    <t>Cotação gov.br</t>
  </si>
  <si>
    <t>MEMBRANA IMPERMEABILIZANTE A BASE DE POLIURETANO viapol vulkem</t>
  </si>
  <si>
    <t xml:space="preserve">Persiana rolon </t>
  </si>
  <si>
    <t>compras.gov</t>
  </si>
  <si>
    <t>Persiana tipo ROLÔ TELA SOLAR 5% SCREEN PEÇA INTEIRA COM SUPORTE REDUTION, COM INSTALAÇÃO, boa qualidade, lavável, cinza claro, inclui estrutura de fixação</t>
  </si>
  <si>
    <t>MARCENEIRO COM ENCARGOS COMPLEMENTARES</t>
  </si>
  <si>
    <t>PLANTIO DE FORRAÇÃO</t>
  </si>
  <si>
    <t>um</t>
  </si>
  <si>
    <t>ELETROCALHA LISA OU PERFURADA TIPO U, EM CHAPA DE ACO GALVANIZADO A FOGO, ESPESSURA # 22, DE 100 X 50 MM (L X A), SEM VIROLA, SEM TAMPA</t>
  </si>
  <si>
    <t>EMENDA PARA ELETROCALHA, LISA OU PERFURADA EM AÇO GALVANIZADO, LARGURA 100MM E ALTURA 50MM - FORNECIMENTO E INSTALAÇÃO.</t>
  </si>
  <si>
    <t>SUPORTE PARA ELETROCALHA LISA OU PERFURADA EM AÇO GALVANIZADO, LARGURA 400 MM, EM PERFILADO COM COMPRIMENTO DE 45 CM FIXADO EM LAJE, POR METRO DE ELETROCALHA FIXADA</t>
  </si>
  <si>
    <t xml:space="preserve">EXTINTOR DE INCÊNDIO PORTÁTIL COM CARGA DE CO2 DE 6 KG, CLASSE BC - FORNECIMENTO E INSTALAÇÃO. </t>
  </si>
  <si>
    <t xml:space="preserve">EXTINTOR DE INCÊNDIO PORTÁTIL COM CARGA DE PQS DE 6 KG, CLASSE BC - FORNECIMENTO E INSTALAÇÃO. </t>
  </si>
  <si>
    <t>ARP</t>
  </si>
  <si>
    <t>Manutenção nível 3 -Teste hidrostático para Extintor de incêndio com carga de PQS – 4kg - BC</t>
  </si>
  <si>
    <t>Manutenção nível 3 - Teste hidrostático para Extintor de incêndio com carga de PQS – 6kg - ABC</t>
  </si>
  <si>
    <t>Manutenção nível 3 - Teste hidrostático para Extintor de incêndio com carga de PQS – 4kg – ABC</t>
  </si>
  <si>
    <t>Manutenção nível 3 - Teste hidrostático para Extintor de incêndio com carga de Água pressurizada – 10 litros</t>
  </si>
  <si>
    <r>
      <t>Manutenção nível 3 - Teste hidrostático Extintor de incêndio com carga de CO</t>
    </r>
    <r>
      <rPr>
        <b/>
        <vertAlign val="subscript"/>
        <sz val="12"/>
        <rFont val="Times New Roman"/>
        <family val="1"/>
      </rPr>
      <t xml:space="preserve">2 </t>
    </r>
    <r>
      <rPr>
        <b/>
        <sz val="12"/>
        <rFont val="Times New Roman"/>
        <family val="1"/>
      </rPr>
      <t>– 6kg</t>
    </r>
  </si>
  <si>
    <t>contrato</t>
  </si>
  <si>
    <t>PLANTIO DE ARBUSTO OU CERCA VIVA</t>
  </si>
  <si>
    <t>MAO DE OBRA SOB DEMANDA</t>
  </si>
  <si>
    <t>HORA</t>
  </si>
  <si>
    <t>VALOR MENSAL</t>
  </si>
  <si>
    <t xml:space="preserve">PREÇO UNITÁRIO </t>
  </si>
  <si>
    <t>VALOR TOTAL ANUAL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</si>
  <si>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</si>
  <si>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</si>
  <si>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</si>
  <si>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</si>
  <si>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</si>
  <si>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</si>
  <si>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</si>
  <si>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</si>
  <si>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</si>
  <si>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</si>
  <si>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</si>
  <si>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</si>
  <si>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</si>
  <si>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</si>
  <si>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</si>
  <si>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</si>
  <si>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</si>
  <si>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</si>
  <si>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</si>
  <si>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</si>
  <si>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</si>
  <si>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</si>
  <si>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</si>
  <si>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</si>
  <si>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</si>
  <si>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</si>
  <si>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</si>
  <si>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18.29</t>
  </si>
  <si>
    <t>18.30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</si>
  <si>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</si>
  <si>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</si>
  <si>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</si>
  <si>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</si>
  <si>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</si>
  <si>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</si>
  <si>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</si>
  <si>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</si>
  <si>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</si>
  <si>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</si>
  <si>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</si>
  <si>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</si>
  <si>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</si>
  <si>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18.44</t>
  </si>
  <si>
    <t>18.45</t>
  </si>
  <si>
    <t>18.46</t>
  </si>
  <si>
    <t>QUANT. MENSAL</t>
  </si>
  <si>
    <t>QUANT.
ANUAL</t>
  </si>
  <si>
    <t>PREÇO TOTAL ANUAL</t>
  </si>
  <si>
    <t>18.47</t>
  </si>
  <si>
    <t>18.48</t>
  </si>
  <si>
    <t>18.49</t>
  </si>
  <si>
    <t>18.50</t>
  </si>
  <si>
    <t>18.51</t>
  </si>
  <si>
    <t>18.52</t>
  </si>
  <si>
    <t>18.53</t>
  </si>
  <si>
    <t>18.54</t>
  </si>
  <si>
    <t>18.55</t>
  </si>
  <si>
    <t>18.56</t>
  </si>
  <si>
    <t>18.57</t>
  </si>
  <si>
    <t>18.58</t>
  </si>
  <si>
    <t>18.59</t>
  </si>
  <si>
    <t>18.60</t>
  </si>
  <si>
    <t>18.61</t>
  </si>
  <si>
    <t>18.62</t>
  </si>
  <si>
    <t>18.63</t>
  </si>
  <si>
    <t>18.64</t>
  </si>
  <si>
    <t>18.65</t>
  </si>
  <si>
    <t>18.66</t>
  </si>
  <si>
    <t>18.67</t>
  </si>
  <si>
    <t>18.68</t>
  </si>
  <si>
    <t>18.69</t>
  </si>
  <si>
    <t>18.70</t>
  </si>
  <si>
    <t>18.71</t>
  </si>
  <si>
    <t>18.72</t>
  </si>
  <si>
    <t>18.73</t>
  </si>
  <si>
    <t>18.74</t>
  </si>
  <si>
    <t>18.75</t>
  </si>
  <si>
    <t>18.76</t>
  </si>
  <si>
    <t>18.77</t>
  </si>
  <si>
    <t>18.78</t>
  </si>
  <si>
    <t>18.79</t>
  </si>
  <si>
    <t>18.80</t>
  </si>
  <si>
    <t>18.81</t>
  </si>
  <si>
    <t>18.82</t>
  </si>
  <si>
    <t>18.83</t>
  </si>
  <si>
    <t>18.84</t>
  </si>
  <si>
    <t>18.85</t>
  </si>
  <si>
    <t>18.86</t>
  </si>
  <si>
    <t>18.87</t>
  </si>
  <si>
    <t>18.88</t>
  </si>
  <si>
    <t>18.89</t>
  </si>
  <si>
    <t>18.90</t>
  </si>
  <si>
    <t>18.91</t>
  </si>
  <si>
    <t>18.92</t>
  </si>
  <si>
    <t>18.93</t>
  </si>
  <si>
    <t>18.94</t>
  </si>
  <si>
    <t>18.95</t>
  </si>
  <si>
    <t>18.96</t>
  </si>
  <si>
    <t>18.97</t>
  </si>
  <si>
    <t>18.98</t>
  </si>
  <si>
    <t>18.99</t>
  </si>
  <si>
    <t>18.100</t>
  </si>
  <si>
    <t>18.101</t>
  </si>
  <si>
    <t>18.102</t>
  </si>
  <si>
    <t>18.103</t>
  </si>
  <si>
    <t>18.104</t>
  </si>
  <si>
    <t>18.105</t>
  </si>
  <si>
    <t>18.106</t>
  </si>
  <si>
    <t>18.107</t>
  </si>
  <si>
    <t>18.108</t>
  </si>
  <si>
    <t>18.109</t>
  </si>
  <si>
    <t>18.110</t>
  </si>
  <si>
    <t>18.111</t>
  </si>
  <si>
    <t>18.112</t>
  </si>
  <si>
    <t>18.113</t>
  </si>
  <si>
    <t>18.114</t>
  </si>
  <si>
    <t>18.115</t>
  </si>
  <si>
    <t>18.116</t>
  </si>
  <si>
    <t>18.117</t>
  </si>
  <si>
    <t>18.118</t>
  </si>
  <si>
    <t>18.119</t>
  </si>
  <si>
    <t>18.120</t>
  </si>
  <si>
    <t>18.121</t>
  </si>
  <si>
    <t>18.122</t>
  </si>
  <si>
    <t>18.123</t>
  </si>
  <si>
    <t>18.124</t>
  </si>
  <si>
    <t>18.125</t>
  </si>
  <si>
    <t>18.126</t>
  </si>
  <si>
    <t>18.127</t>
  </si>
  <si>
    <t>18.128</t>
  </si>
  <si>
    <t>18.129</t>
  </si>
  <si>
    <t>18.130</t>
  </si>
  <si>
    <t>19.1</t>
  </si>
  <si>
    <t>19.2</t>
  </si>
  <si>
    <t>19.3</t>
  </si>
  <si>
    <t>QTDE ANUAL</t>
  </si>
  <si>
    <t>Preço Total ANUAL</t>
  </si>
  <si>
    <t>EQUIPAMENTOS</t>
  </si>
  <si>
    <t>BDI SERVIÇOS</t>
  </si>
  <si>
    <t>20. SERVIÇOS EVENTUAIS</t>
  </si>
  <si>
    <t>pesquisa compras.gov</t>
  </si>
  <si>
    <t>Gás R410A cilindro 13,62</t>
  </si>
  <si>
    <t>Execução de limpeza e lixamento</t>
  </si>
  <si>
    <t>MEMBRANA IMPERMEABILIZANTE Baronecoat PU Top</t>
  </si>
  <si>
    <t>Execução de manutenção de MEMBRANA DE POLIURETANO PARA TRÁFEGO DE VEÍCULOS</t>
  </si>
  <si>
    <t xml:space="preserve">Execução de Manutenção de MEMBRANA DE POLIURETANO PARA TRÁFEGO DE PEDESTRES 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</si>
  <si>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</si>
  <si>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</si>
  <si>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</si>
  <si>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</si>
  <si>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</si>
  <si>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</si>
  <si>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</si>
  <si>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</si>
  <si>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</si>
  <si>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</si>
  <si>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</si>
  <si>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</si>
  <si>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</si>
  <si>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</si>
  <si>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</si>
  <si>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</si>
  <si>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</si>
  <si>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</si>
  <si>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</si>
  <si>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</si>
  <si>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</si>
  <si>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</si>
  <si>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</si>
  <si>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</si>
  <si>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>20.25</t>
  </si>
  <si>
    <t>20.26</t>
  </si>
  <si>
    <t>20.27</t>
  </si>
  <si>
    <t>20.28</t>
  </si>
  <si>
    <t>20.29</t>
  </si>
  <si>
    <t>20.30</t>
  </si>
  <si>
    <t>20.31</t>
  </si>
  <si>
    <t>20.32</t>
  </si>
  <si>
    <t>20.33</t>
  </si>
  <si>
    <t>20.34</t>
  </si>
  <si>
    <t>20.35</t>
  </si>
  <si>
    <t>20.36</t>
  </si>
  <si>
    <t>20.37</t>
  </si>
  <si>
    <t>20.38</t>
  </si>
  <si>
    <t>20.39</t>
  </si>
  <si>
    <t>20.40</t>
  </si>
  <si>
    <t>20.41</t>
  </si>
  <si>
    <t>20.42</t>
  </si>
  <si>
    <t>20.43</t>
  </si>
  <si>
    <t>20.44</t>
  </si>
  <si>
    <t>20.45</t>
  </si>
  <si>
    <t>20.46</t>
  </si>
  <si>
    <t>20.47</t>
  </si>
  <si>
    <t>20.48</t>
  </si>
  <si>
    <t>20.49</t>
  </si>
  <si>
    <t>20.50</t>
  </si>
  <si>
    <t>20.51</t>
  </si>
  <si>
    <t>20.52</t>
  </si>
  <si>
    <t>20.53</t>
  </si>
  <si>
    <t>20.54</t>
  </si>
  <si>
    <t>20.55</t>
  </si>
  <si>
    <t>20.56</t>
  </si>
  <si>
    <t>20.57</t>
  </si>
  <si>
    <t>20.58</t>
  </si>
  <si>
    <t>20.59</t>
  </si>
  <si>
    <t>20.60</t>
  </si>
  <si>
    <t>20.61</t>
  </si>
  <si>
    <t>20.62</t>
  </si>
  <si>
    <t>20.63</t>
  </si>
  <si>
    <t>20.64</t>
  </si>
  <si>
    <t>20.65</t>
  </si>
  <si>
    <t>20.66</t>
  </si>
  <si>
    <t>20.67</t>
  </si>
  <si>
    <t>20.68</t>
  </si>
  <si>
    <t>20.69</t>
  </si>
  <si>
    <t>20.70</t>
  </si>
  <si>
    <t>20.71</t>
  </si>
  <si>
    <t>20.72</t>
  </si>
  <si>
    <t>20.73</t>
  </si>
  <si>
    <t>20.74</t>
  </si>
  <si>
    <t>20.75</t>
  </si>
  <si>
    <t>20.76</t>
  </si>
  <si>
    <t>20.77</t>
  </si>
  <si>
    <t>20.78</t>
  </si>
  <si>
    <t>20.79</t>
  </si>
  <si>
    <t>20.80</t>
  </si>
  <si>
    <t>20.81</t>
  </si>
  <si>
    <t>20.82</t>
  </si>
  <si>
    <t>20.83</t>
  </si>
  <si>
    <t>20.84</t>
  </si>
  <si>
    <t>20.85</t>
  </si>
  <si>
    <t>20.86</t>
  </si>
  <si>
    <t>20.87</t>
  </si>
  <si>
    <t>20.88</t>
  </si>
  <si>
    <t>20.89</t>
  </si>
  <si>
    <t>20.90</t>
  </si>
  <si>
    <t>20.91</t>
  </si>
  <si>
    <t>20.92</t>
  </si>
  <si>
    <t>20.93</t>
  </si>
  <si>
    <t>20.94</t>
  </si>
  <si>
    <t>20.95</t>
  </si>
  <si>
    <t>20.96</t>
  </si>
  <si>
    <t>20.97</t>
  </si>
  <si>
    <t>20.98</t>
  </si>
  <si>
    <t>20.99</t>
  </si>
  <si>
    <t>20.100</t>
  </si>
  <si>
    <t>20.101</t>
  </si>
  <si>
    <t>20.102</t>
  </si>
  <si>
    <t>20.103</t>
  </si>
  <si>
    <t>20.104</t>
  </si>
  <si>
    <t>20.105</t>
  </si>
  <si>
    <t>20.106</t>
  </si>
  <si>
    <t>20.107</t>
  </si>
  <si>
    <t>20.108</t>
  </si>
  <si>
    <t>20.109</t>
  </si>
  <si>
    <t>20.110</t>
  </si>
  <si>
    <t>20.111</t>
  </si>
  <si>
    <t>20.112</t>
  </si>
  <si>
    <t>20.113</t>
  </si>
  <si>
    <t>Limpeza e manutenção de PAINEL DE PROTEÇÃO SOLAR COM ESQUADRIA DE ALUMÍNIO, PAINEIS PERTECH E VIDROS CASCATA e demais elementos de fachada</t>
  </si>
  <si>
    <t>QUANT. ANUAL</t>
  </si>
  <si>
    <t>PREÇO UNITÁRIO</t>
  </si>
  <si>
    <t>TOTAL GERAL  (ITENS 16, 17, 18, 19 E 20)</t>
  </si>
  <si>
    <t>TOTAL CUSTOS DIRETOS  (item 20)</t>
  </si>
  <si>
    <t>18.131</t>
  </si>
  <si>
    <t>18.132</t>
  </si>
  <si>
    <t>18.133</t>
  </si>
  <si>
    <t>18.134</t>
  </si>
  <si>
    <t>18.135</t>
  </si>
  <si>
    <t>18.136</t>
  </si>
  <si>
    <t>18.137</t>
  </si>
  <si>
    <t>18.138</t>
  </si>
  <si>
    <t>18.139</t>
  </si>
  <si>
    <t>18.140</t>
  </si>
  <si>
    <t>18.141</t>
  </si>
  <si>
    <t>18.142</t>
  </si>
  <si>
    <t>18.143</t>
  </si>
  <si>
    <t>18.144</t>
  </si>
  <si>
    <t>18.145</t>
  </si>
  <si>
    <t>18.146</t>
  </si>
  <si>
    <t>18.147</t>
  </si>
  <si>
    <t>18.148</t>
  </si>
  <si>
    <t>18.149</t>
  </si>
  <si>
    <t>18.150</t>
  </si>
  <si>
    <t>19.4</t>
  </si>
  <si>
    <t>19.5</t>
  </si>
  <si>
    <t>19.6</t>
  </si>
  <si>
    <t>TOTAL CUSTOS DIRETOS  (item 19)</t>
  </si>
  <si>
    <t>TOTAL CUSTOS DIRETOS (ITEM 18)</t>
  </si>
  <si>
    <t>BDI DIFERENCIADO MÁXIMO</t>
  </si>
  <si>
    <t xml:space="preserve">MANUTENÇÃO CORRETIVA TOTAL </t>
  </si>
  <si>
    <t>VALOR TOTAL - ANUAL</t>
  </si>
  <si>
    <t>Gestão, operação e manutenção preventiva</t>
  </si>
  <si>
    <t>Manutenção Corretiva</t>
  </si>
  <si>
    <t>Estimativa anual</t>
  </si>
  <si>
    <t>Contrato Confea</t>
  </si>
  <si>
    <t>Contrato JF</t>
  </si>
  <si>
    <t>Contrato marinha</t>
  </si>
  <si>
    <t>contrato marinha</t>
  </si>
  <si>
    <t>Compras.gov</t>
  </si>
  <si>
    <t>Relógio biometrico</t>
  </si>
  <si>
    <t>TV 75" LED 4K UHD SMART 3 3ntradas HDMI, controle por aplicativo</t>
  </si>
  <si>
    <t>Mensal fixo</t>
  </si>
  <si>
    <r>
      <t xml:space="preserve">Para a obtenção de valor estimado da remuneração dos profissionais envolvidos tomou-se por base algumas convenções coletivas, porém é importante citar que estas Convenções não serão tratadas como obrigatórias na execução contratual, pois não se pode precisar a atividade preponderante da empresa a ser contratada.
Os valores dos salários dos funcionários foram estimados com base nos valores estipulados conforme:
- CCT 2023/2025 e aditivo 2024/2025 – Sinduscon/DF x Senge/DF - SEI 1192173;
- CCT 2025/2027 – Sinduscon/DF x Sticombe/DF - SEI  1352671
- CCT 2024/2025 – Seac/DF x Sintec/DF - SEI 1192405
Para o posto encarregdo de ar condicionado considerou-se para estimativa o piso da CCT Seac/Sintec - R$ 4275,18
Para o posto encarregado geral, considerando a ausência de fixação de piso nas CCTs utilizadas como base neste orçamento, foi estimado o valor praticado no mercado conforme quadro lateral.
Para o posto técnico de segurança no trabalho adotou-se tabela referencial enviada pelo Sintest/DF (SEI 1192408) e pesquisa de mercado
Para o posto engenheiro foi realizada pesquisa de mercado conforme consta ao lado, considerando a esperiência solicitada
</t>
    </r>
    <r>
      <rPr>
        <b/>
        <sz val="12"/>
        <rFont val="Arial Narrow"/>
        <family val="2"/>
      </rPr>
      <t>A licitante deverá declarar a qual Sindicato é filiada em decorrência da sua atividade econômica principal e por conseguinte, apresentar aquelas CCTs utilizadas na sua proposta, ou seja, as convenções as quais está obrigada a cumprir.</t>
    </r>
  </si>
  <si>
    <t>CCT Sinduscon x Sticombe -- Vale diário de R$ 27,00 - incluido desconto de 9% + Café manhã de 6,40 por dia</t>
  </si>
  <si>
    <t>03777</t>
  </si>
  <si>
    <t>VIDRO TEMPERADO VERDE, ESPESSURA 10MM, FORNECIMENTO E INSTALACAO, INCLUSIVE MASSA PARA VEDACAO</t>
  </si>
  <si>
    <t>VIDRO TEMPERADO VERDE E = 10 MM, SEM COLOCACAO</t>
  </si>
  <si>
    <t>Sinapi 01/2026
código/preço</t>
  </si>
  <si>
    <t>Fita veda rosca 25m</t>
  </si>
  <si>
    <t>Sinapi 01/2026
Código / preço</t>
  </si>
  <si>
    <t>Preço Unitário
01/2026</t>
  </si>
  <si>
    <t>PREÇO UNITARIO
01/2026</t>
  </si>
  <si>
    <t>REVESTIMENTO EM LAMINADO MELAMINICO LISO, ESPESSURA 0,8 MM, FIXADO COM COLA</t>
  </si>
  <si>
    <t>Salário Normativo da categoria profissional - Lei 4950A/66</t>
  </si>
  <si>
    <t>Sintec/DF - categ diferenciada</t>
  </si>
  <si>
    <t>Plano de saude</t>
  </si>
  <si>
    <t>CCT Sintec  x Seac</t>
  </si>
  <si>
    <t>Plano odontologico</t>
  </si>
  <si>
    <t>CCT Sinduscon x Sticombe (21400/12)*0,005 - 5% probabilidade</t>
  </si>
  <si>
    <t>plano saude</t>
  </si>
  <si>
    <t>Mão de Obra sob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</si>
</sst>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"/>
    <numFmt numFmtId="166" formatCode="0.0%"/>
    <numFmt numFmtId="167" formatCode="_(* #,##0.00_);_(* \(#,##0.00\);_(* &quot;-&quot;??_);_(@_)"/>
    <numFmt numFmtId="168" formatCode="#,##0.00000"/>
    <numFmt numFmtId="169" formatCode="#,##0.000000"/>
    <numFmt numFmtId="170" formatCode="#,##0.0000000"/>
    <numFmt numFmtId="171" formatCode="0.0000"/>
    <numFmt numFmtId="172" formatCode="0.00000"/>
    <numFmt numFmtId="173" formatCode="0.000000"/>
    <numFmt numFmtId="174" formatCode="_(&quot;R$ &quot;* #,##0.00_);_(&quot;R$ &quot;* \(#,##0.00\);_(&quot;R$ &quot;* &quot;-&quot;??_);_(@_)"/>
    <numFmt numFmtId="175" formatCode="_([$€]* #,##0.00_);_([$€]* \(#,##0.00\);_([$€]* &quot;-&quot;??_);_(@_)"/>
    <numFmt numFmtId="176" formatCode="_-* #,##0.00\ _D_M_-;\-* #,##0.00\ _D_M_-;_-* &quot;-&quot;??\ _D_M_-;_-@_-"/>
    <numFmt numFmtId="177" formatCode="&quot; R$ &quot;#,##0.00\ ;&quot; R$ (&quot;#,##0.00\);&quot; R$ -&quot;#\ ;@\ "/>
    <numFmt numFmtId="178" formatCode="#,##0.00\ ;&quot; (&quot;#,##0.00\);&quot; -&quot;#\ ;@\ "/>
    <numFmt numFmtId="179" formatCode="_-* #,##0.00_-;\-* #,##0.00_-;_-* \-??_-;_-@_-"/>
    <numFmt numFmtId="180" formatCode="0.000%"/>
  </numFmts>
  <fonts count="85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b/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indexed="8"/>
      <name val="Arial2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vertAlign val="subscript"/>
      <sz val="12"/>
      <name val="Times New Roman"/>
      <family val="1"/>
    </font>
    <font>
      <sz val="11"/>
      <name val="Calibri"/>
      <family val="2"/>
      <scheme val="minor"/>
    </font>
    <font>
      <b/>
      <sz val="24"/>
      <color theme="1"/>
      <name val="Times New Roman"/>
      <family val="1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10"/>
      <name val="Geneva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11"/>
      <name val="Calibri"/>
      <family val="2"/>
      <charset val="1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u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 Narrow"/>
      <family val="2"/>
    </font>
  </fonts>
  <fills count="6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-0.249977111117893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8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18">
    <xf numFmtId="0" fontId="0" fillId="0" borderId="0"/>
    <xf numFmtId="43" fontId="3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4" fillId="0" borderId="0"/>
    <xf numFmtId="0" fontId="27" fillId="0" borderId="0"/>
    <xf numFmtId="175" fontId="9" fillId="0" borderId="0" applyFont="0" applyFill="0" applyBorder="0" applyAlignment="0" applyProtection="0"/>
    <xf numFmtId="0" fontId="28" fillId="0" borderId="0"/>
    <xf numFmtId="0" fontId="28" fillId="0" borderId="0"/>
    <xf numFmtId="174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177" fontId="30" fillId="0" borderId="0">
      <alignment horizontal="justify" vertical="top"/>
    </xf>
    <xf numFmtId="164" fontId="9" fillId="0" borderId="0" applyFont="0" applyFill="0" applyBorder="0" applyAlignment="0" applyProtection="0"/>
    <xf numFmtId="0" fontId="30" fillId="0" borderId="0">
      <alignment horizontal="justify"/>
    </xf>
    <xf numFmtId="0" fontId="31" fillId="0" borderId="0"/>
    <xf numFmtId="0" fontId="9" fillId="0" borderId="0"/>
    <xf numFmtId="0" fontId="27" fillId="0" borderId="0"/>
    <xf numFmtId="0" fontId="9" fillId="0" borderId="0"/>
    <xf numFmtId="0" fontId="27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30" fillId="0" borderId="0">
      <alignment horizontal="justify" vertical="top"/>
    </xf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40" fillId="20" borderId="0" applyNumberFormat="0" applyBorder="0" applyAlignment="0" applyProtection="0"/>
    <xf numFmtId="0" fontId="41" fillId="32" borderId="36" applyNumberFormat="0" applyAlignment="0" applyProtection="0"/>
    <xf numFmtId="0" fontId="55" fillId="0" borderId="0"/>
    <xf numFmtId="0" fontId="42" fillId="33" borderId="37" applyNumberFormat="0" applyAlignment="0" applyProtection="0"/>
    <xf numFmtId="0" fontId="43" fillId="0" borderId="38" applyNumberFormat="0" applyFill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7" borderId="0" applyNumberFormat="0" applyBorder="0" applyAlignment="0" applyProtection="0"/>
    <xf numFmtId="0" fontId="44" fillId="23" borderId="36" applyNumberFormat="0" applyAlignment="0" applyProtection="0"/>
    <xf numFmtId="0" fontId="45" fillId="19" borderId="0" applyNumberFormat="0" applyBorder="0" applyAlignment="0" applyProtection="0"/>
    <xf numFmtId="0" fontId="46" fillId="38" borderId="0" applyNumberFormat="0" applyBorder="0" applyAlignment="0" applyProtection="0"/>
    <xf numFmtId="0" fontId="9" fillId="39" borderId="39" applyNumberFormat="0" applyAlignment="0" applyProtection="0"/>
    <xf numFmtId="9" fontId="9" fillId="0" borderId="0" applyFill="0" applyBorder="0" applyAlignment="0" applyProtection="0"/>
    <xf numFmtId="0" fontId="47" fillId="32" borderId="40" applyNumberFormat="0" applyAlignment="0" applyProtection="0"/>
    <xf numFmtId="179" fontId="9" fillId="0" borderId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1" applyNumberFormat="0" applyFill="0" applyAlignment="0" applyProtection="0"/>
    <xf numFmtId="0" fontId="52" fillId="0" borderId="42" applyNumberFormat="0" applyFill="0" applyAlignment="0" applyProtection="0"/>
    <xf numFmtId="0" fontId="53" fillId="0" borderId="4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44" applyNumberFormat="0" applyFill="0" applyAlignment="0" applyProtection="0"/>
    <xf numFmtId="0" fontId="66" fillId="0" borderId="0"/>
    <xf numFmtId="44" fontId="67" fillId="0" borderId="0" applyFont="0" applyFill="0" applyBorder="0" applyAlignment="0" applyProtection="0"/>
    <xf numFmtId="0" fontId="76" fillId="0" borderId="0"/>
    <xf numFmtId="43" fontId="3" fillId="0" borderId="0" applyFont="0" applyFill="0" applyBorder="0" applyAlignment="0" applyProtection="0"/>
    <xf numFmtId="174" fontId="9" fillId="0" borderId="0" applyFont="0" applyFill="0" applyBorder="0" applyAlignment="0" applyProtection="0"/>
    <xf numFmtId="44" fontId="76" fillId="0" borderId="0" applyFont="0" applyFill="0" applyBorder="0" applyAlignment="0" applyProtection="0"/>
    <xf numFmtId="0" fontId="77" fillId="0" borderId="0"/>
    <xf numFmtId="9" fontId="7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76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7" fillId="0" borderId="0" applyFont="0" applyFill="0" applyBorder="0" applyAlignment="0" applyProtection="0"/>
  </cellStyleXfs>
  <cellXfs count="8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2" fillId="0" borderId="1" xfId="1" applyFont="1" applyBorder="1"/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 vertical="center" wrapText="1"/>
    </xf>
    <xf numFmtId="43" fontId="14" fillId="0" borderId="1" xfId="1" quotePrefix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3" fontId="13" fillId="0" borderId="0" xfId="1" applyFont="1" applyBorder="1"/>
    <xf numFmtId="43" fontId="0" fillId="0" borderId="0" xfId="0" applyNumberForma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wrapText="1"/>
    </xf>
    <xf numFmtId="43" fontId="16" fillId="0" borderId="0" xfId="1" applyFont="1" applyAlignment="1">
      <alignment wrapText="1"/>
    </xf>
    <xf numFmtId="43" fontId="16" fillId="0" borderId="0" xfId="1" applyFont="1"/>
    <xf numFmtId="49" fontId="14" fillId="6" borderId="1" xfId="0" applyNumberFormat="1" applyFont="1" applyFill="1" applyBorder="1" applyAlignment="1">
      <alignment horizontal="center" vertical="center"/>
    </xf>
    <xf numFmtId="43" fontId="14" fillId="6" borderId="1" xfId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43" fontId="14" fillId="6" borderId="1" xfId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4" fillId="6" borderId="1" xfId="4" applyFont="1" applyFill="1" applyBorder="1" applyAlignment="1">
      <alignment horizontal="center" vertical="center"/>
    </xf>
    <xf numFmtId="0" fontId="8" fillId="0" borderId="0" xfId="0" applyFont="1"/>
    <xf numFmtId="0" fontId="2" fillId="0" borderId="4" xfId="0" applyFont="1" applyBorder="1" applyAlignment="1">
      <alignment horizontal="center" vertical="center" wrapText="1"/>
    </xf>
    <xf numFmtId="0" fontId="18" fillId="0" borderId="0" xfId="0" applyFont="1"/>
    <xf numFmtId="0" fontId="14" fillId="0" borderId="0" xfId="0" applyFont="1"/>
    <xf numFmtId="0" fontId="2" fillId="0" borderId="0" xfId="0" applyFont="1"/>
    <xf numFmtId="0" fontId="14" fillId="0" borderId="0" xfId="0" applyFont="1" applyAlignment="1">
      <alignment wrapText="1"/>
    </xf>
    <xf numFmtId="0" fontId="21" fillId="9" borderId="1" xfId="13" applyFont="1" applyFill="1" applyBorder="1" applyAlignment="1">
      <alignment horizontal="center" vertical="center" wrapText="1"/>
    </xf>
    <xf numFmtId="0" fontId="21" fillId="9" borderId="1" xfId="13" applyFont="1" applyFill="1" applyBorder="1" applyAlignment="1">
      <alignment horizontal="left" vertical="center" wrapText="1"/>
    </xf>
    <xf numFmtId="4" fontId="21" fillId="9" borderId="1" xfId="13" applyNumberFormat="1" applyFont="1" applyFill="1" applyBorder="1" applyAlignment="1">
      <alignment horizontal="center" vertical="center" wrapText="1"/>
    </xf>
    <xf numFmtId="0" fontId="21" fillId="0" borderId="1" xfId="13" applyFont="1" applyBorder="1" applyAlignment="1">
      <alignment horizontal="center" vertical="center" wrapText="1"/>
    </xf>
    <xf numFmtId="168" fontId="21" fillId="9" borderId="1" xfId="13" applyNumberFormat="1" applyFont="1" applyFill="1" applyBorder="1" applyAlignment="1">
      <alignment horizontal="center" vertical="center" wrapText="1"/>
    </xf>
    <xf numFmtId="169" fontId="21" fillId="9" borderId="1" xfId="13" applyNumberFormat="1" applyFont="1" applyFill="1" applyBorder="1" applyAlignment="1">
      <alignment horizontal="center" vertical="center" wrapText="1"/>
    </xf>
    <xf numFmtId="0" fontId="21" fillId="0" borderId="1" xfId="13" applyFont="1" applyBorder="1" applyAlignment="1">
      <alignment horizontal="left" vertical="center" wrapText="1"/>
    </xf>
    <xf numFmtId="169" fontId="21" fillId="0" borderId="1" xfId="13" applyNumberFormat="1" applyFont="1" applyBorder="1" applyAlignment="1">
      <alignment horizontal="center" vertical="center" wrapText="1"/>
    </xf>
    <xf numFmtId="170" fontId="21" fillId="9" borderId="1" xfId="1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13" applyFont="1" applyBorder="1" applyAlignment="1">
      <alignment horizontal="center" vertical="center" wrapText="1"/>
    </xf>
    <xf numFmtId="0" fontId="14" fillId="0" borderId="1" xfId="13" applyFont="1" applyBorder="1" applyAlignment="1">
      <alignment horizontal="left" vertical="center" wrapText="1"/>
    </xf>
    <xf numFmtId="43" fontId="14" fillId="0" borderId="1" xfId="1" applyFont="1" applyFill="1" applyBorder="1" applyAlignment="1">
      <alignment horizontal="center" vertical="center" wrapText="1"/>
    </xf>
    <xf numFmtId="10" fontId="0" fillId="0" borderId="12" xfId="6" applyNumberFormat="1" applyFont="1" applyBorder="1"/>
    <xf numFmtId="0" fontId="0" fillId="0" borderId="31" xfId="0" applyBorder="1"/>
    <xf numFmtId="0" fontId="0" fillId="0" borderId="6" xfId="0" applyBorder="1"/>
    <xf numFmtId="0" fontId="0" fillId="0" borderId="8" xfId="0" applyBorder="1"/>
    <xf numFmtId="10" fontId="0" fillId="0" borderId="1" xfId="6" applyNumberFormat="1" applyFont="1" applyBorder="1"/>
    <xf numFmtId="10" fontId="0" fillId="0" borderId="0" xfId="0" applyNumberFormat="1"/>
    <xf numFmtId="10" fontId="25" fillId="10" borderId="1" xfId="0" applyNumberFormat="1" applyFont="1" applyFill="1" applyBorder="1"/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" fillId="6" borderId="22" xfId="2" applyFont="1" applyFill="1" applyBorder="1" applyAlignment="1">
      <alignment horizontal="center" vertical="center" wrapText="1"/>
    </xf>
    <xf numFmtId="0" fontId="2" fillId="6" borderId="1" xfId="4" applyFont="1" applyFill="1" applyBorder="1" applyAlignment="1">
      <alignment horizontal="left" vertical="center"/>
    </xf>
    <xf numFmtId="0" fontId="2" fillId="6" borderId="1" xfId="4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3" fontId="14" fillId="0" borderId="0" xfId="1" applyFont="1" applyFill="1" applyBorder="1" applyAlignment="1">
      <alignment horizontal="center" vertical="center"/>
    </xf>
    <xf numFmtId="4" fontId="26" fillId="9" borderId="1" xfId="13" applyNumberFormat="1" applyFont="1" applyFill="1" applyBorder="1" applyAlignment="1">
      <alignment horizontal="center" vertical="center" wrapText="1"/>
    </xf>
    <xf numFmtId="0" fontId="14" fillId="9" borderId="1" xfId="13" applyFont="1" applyFill="1" applyBorder="1" applyAlignment="1">
      <alignment horizontal="left" vertical="center" wrapText="1"/>
    </xf>
    <xf numFmtId="0" fontId="14" fillId="9" borderId="1" xfId="13" applyFont="1" applyFill="1" applyBorder="1" applyAlignment="1">
      <alignment horizontal="center" vertical="center" wrapText="1"/>
    </xf>
    <xf numFmtId="4" fontId="14" fillId="9" borderId="1" xfId="13" applyNumberFormat="1" applyFont="1" applyFill="1" applyBorder="1" applyAlignment="1">
      <alignment horizontal="center" vertical="center" wrapText="1"/>
    </xf>
    <xf numFmtId="168" fontId="14" fillId="9" borderId="1" xfId="13" applyNumberFormat="1" applyFont="1" applyFill="1" applyBorder="1" applyAlignment="1">
      <alignment horizontal="center" vertical="center" wrapText="1"/>
    </xf>
    <xf numFmtId="0" fontId="22" fillId="11" borderId="1" xfId="13" applyFont="1" applyFill="1" applyBorder="1" applyAlignment="1">
      <alignment horizontal="center" vertical="center" wrapText="1"/>
    </xf>
    <xf numFmtId="0" fontId="22" fillId="11" borderId="1" xfId="13" applyFont="1" applyFill="1" applyBorder="1" applyAlignment="1">
      <alignment horizontal="left" vertical="center" wrapText="1"/>
    </xf>
    <xf numFmtId="4" fontId="22" fillId="11" borderId="1" xfId="13" applyNumberFormat="1" applyFont="1" applyFill="1" applyBorder="1" applyAlignment="1">
      <alignment horizontal="center" vertical="center" wrapText="1"/>
    </xf>
    <xf numFmtId="0" fontId="19" fillId="12" borderId="4" xfId="13" applyFont="1" applyFill="1" applyBorder="1" applyAlignment="1">
      <alignment horizontal="center" vertical="center" wrapText="1"/>
    </xf>
    <xf numFmtId="2" fontId="19" fillId="12" borderId="4" xfId="13" applyNumberFormat="1" applyFont="1" applyFill="1" applyBorder="1" applyAlignment="1">
      <alignment horizontal="center" vertical="center" wrapText="1"/>
    </xf>
    <xf numFmtId="4" fontId="19" fillId="12" borderId="4" xfId="13" applyNumberFormat="1" applyFont="1" applyFill="1" applyBorder="1" applyAlignment="1">
      <alignment horizontal="center" vertical="center" wrapText="1"/>
    </xf>
    <xf numFmtId="0" fontId="1" fillId="0" borderId="0" xfId="0" applyFont="1"/>
    <xf numFmtId="0" fontId="20" fillId="11" borderId="1" xfId="13" applyFont="1" applyFill="1" applyBorder="1" applyAlignment="1">
      <alignment horizontal="center" vertical="center" wrapText="1"/>
    </xf>
    <xf numFmtId="0" fontId="20" fillId="11" borderId="1" xfId="13" applyFont="1" applyFill="1" applyBorder="1" applyAlignment="1">
      <alignment horizontal="left" vertical="center" wrapText="1"/>
    </xf>
    <xf numFmtId="4" fontId="20" fillId="11" borderId="1" xfId="1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9" borderId="4" xfId="13" applyFont="1" applyFill="1" applyBorder="1" applyAlignment="1">
      <alignment horizontal="center" vertical="center" wrapText="1"/>
    </xf>
    <xf numFmtId="0" fontId="14" fillId="9" borderId="4" xfId="13" applyFont="1" applyFill="1" applyBorder="1" applyAlignment="1">
      <alignment horizontal="left" vertical="center" wrapText="1"/>
    </xf>
    <xf numFmtId="0" fontId="22" fillId="13" borderId="1" xfId="0" applyFont="1" applyFill="1" applyBorder="1" applyAlignment="1">
      <alignment horizontal="left" vertical="center" wrapText="1"/>
    </xf>
    <xf numFmtId="168" fontId="20" fillId="11" borderId="1" xfId="13" applyNumberFormat="1" applyFont="1" applyFill="1" applyBorder="1" applyAlignment="1">
      <alignment horizontal="center" vertical="center" wrapText="1"/>
    </xf>
    <xf numFmtId="4" fontId="24" fillId="11" borderId="1" xfId="13" applyNumberFormat="1" applyFont="1" applyFill="1" applyBorder="1" applyAlignment="1">
      <alignment horizontal="center" vertical="center" wrapText="1"/>
    </xf>
    <xf numFmtId="173" fontId="21" fillId="9" borderId="1" xfId="13" applyNumberFormat="1" applyFont="1" applyFill="1" applyBorder="1" applyAlignment="1">
      <alignment horizontal="center" vertical="center" wrapText="1"/>
    </xf>
    <xf numFmtId="0" fontId="26" fillId="0" borderId="0" xfId="13" applyFont="1" applyAlignment="1">
      <alignment horizontal="left" vertical="center"/>
    </xf>
    <xf numFmtId="173" fontId="2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14" fillId="9" borderId="3" xfId="13" applyFont="1" applyFill="1" applyBorder="1" applyAlignment="1">
      <alignment horizontal="center" vertical="center" wrapText="1"/>
    </xf>
    <xf numFmtId="0" fontId="14" fillId="9" borderId="3" xfId="1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4" fillId="0" borderId="1" xfId="26" applyFont="1" applyBorder="1" applyAlignment="1">
      <alignment horizontal="center" vertical="center"/>
    </xf>
    <xf numFmtId="171" fontId="14" fillId="0" borderId="1" xfId="26" applyNumberFormat="1" applyFont="1" applyBorder="1" applyAlignment="1">
      <alignment horizontal="center" vertical="center"/>
    </xf>
    <xf numFmtId="0" fontId="14" fillId="0" borderId="1" xfId="26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horizontal="center"/>
    </xf>
    <xf numFmtId="43" fontId="2" fillId="0" borderId="0" xfId="1" applyFont="1"/>
    <xf numFmtId="49" fontId="14" fillId="6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3" fontId="14" fillId="6" borderId="4" xfId="1" applyFont="1" applyFill="1" applyBorder="1" applyAlignment="1">
      <alignment horizontal="center" vertical="center" wrapText="1"/>
    </xf>
    <xf numFmtId="43" fontId="14" fillId="6" borderId="6" xfId="1" applyFont="1" applyFill="1" applyBorder="1" applyAlignment="1">
      <alignment horizontal="center" vertical="center" wrapText="1"/>
    </xf>
    <xf numFmtId="0" fontId="22" fillId="15" borderId="4" xfId="0" applyFont="1" applyFill="1" applyBorder="1" applyAlignment="1">
      <alignment horizontal="center" vertical="center"/>
    </xf>
    <xf numFmtId="49" fontId="22" fillId="15" borderId="4" xfId="0" applyNumberFormat="1" applyFont="1" applyFill="1" applyBorder="1" applyAlignment="1">
      <alignment horizontal="center" vertical="center" wrapText="1"/>
    </xf>
    <xf numFmtId="0" fontId="22" fillId="15" borderId="4" xfId="0" applyFont="1" applyFill="1" applyBorder="1" applyAlignment="1">
      <alignment horizontal="center" vertical="center" wrapText="1"/>
    </xf>
    <xf numFmtId="43" fontId="22" fillId="15" borderId="4" xfId="1" applyFont="1" applyFill="1" applyBorder="1" applyAlignment="1">
      <alignment horizontal="center" vertical="center" wrapText="1"/>
    </xf>
    <xf numFmtId="0" fontId="2" fillId="6" borderId="1" xfId="4" applyFont="1" applyFill="1" applyBorder="1" applyAlignment="1">
      <alignment vertical="center" wrapText="1"/>
    </xf>
    <xf numFmtId="165" fontId="14" fillId="0" borderId="1" xfId="2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 wrapText="1"/>
    </xf>
    <xf numFmtId="43" fontId="7" fillId="5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170" fontId="20" fillId="11" borderId="1" xfId="13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wrapText="1"/>
    </xf>
    <xf numFmtId="0" fontId="16" fillId="6" borderId="0" xfId="0" applyFont="1" applyFill="1" applyAlignment="1">
      <alignment horizontal="left" wrapText="1"/>
    </xf>
    <xf numFmtId="4" fontId="2" fillId="0" borderId="0" xfId="0" applyNumberFormat="1" applyFont="1"/>
    <xf numFmtId="0" fontId="17" fillId="0" borderId="0" xfId="0" applyFont="1" applyAlignment="1">
      <alignment horizontal="left"/>
    </xf>
    <xf numFmtId="49" fontId="14" fillId="0" borderId="1" xfId="0" applyNumberFormat="1" applyFont="1" applyBorder="1" applyAlignment="1">
      <alignment horizontal="left" vertical="center" wrapText="1"/>
    </xf>
    <xf numFmtId="165" fontId="14" fillId="0" borderId="0" xfId="2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/>
    <xf numFmtId="43" fontId="2" fillId="0" borderId="0" xfId="1" applyFont="1" applyFill="1"/>
    <xf numFmtId="43" fontId="2" fillId="0" borderId="0" xfId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1" fontId="14" fillId="0" borderId="1" xfId="13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1" fontId="16" fillId="0" borderId="0" xfId="0" applyNumberFormat="1" applyFont="1" applyAlignment="1">
      <alignment horizontal="center" wrapText="1"/>
    </xf>
    <xf numFmtId="1" fontId="16" fillId="0" borderId="0" xfId="0" applyNumberFormat="1" applyFont="1" applyAlignment="1">
      <alignment horizontal="center"/>
    </xf>
    <xf numFmtId="43" fontId="14" fillId="0" borderId="0" xfId="1" applyFont="1" applyFill="1"/>
    <xf numFmtId="173" fontId="2" fillId="0" borderId="1" xfId="0" applyNumberFormat="1" applyFont="1" applyBorder="1" applyAlignment="1">
      <alignment horizontal="center"/>
    </xf>
    <xf numFmtId="43" fontId="35" fillId="0" borderId="0" xfId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0" borderId="1" xfId="4" applyFont="1" applyBorder="1" applyAlignment="1">
      <alignment vertical="center" wrapText="1"/>
    </xf>
    <xf numFmtId="43" fontId="2" fillId="0" borderId="1" xfId="1" applyFont="1" applyBorder="1" applyAlignment="1">
      <alignment vertical="center"/>
    </xf>
    <xf numFmtId="0" fontId="2" fillId="0" borderId="1" xfId="4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14" fillId="0" borderId="0" xfId="1" applyFont="1" applyAlignment="1">
      <alignment wrapText="1"/>
    </xf>
    <xf numFmtId="43" fontId="14" fillId="0" borderId="0" xfId="1" applyFont="1"/>
    <xf numFmtId="43" fontId="26" fillId="0" borderId="1" xfId="1" applyFont="1" applyBorder="1" applyAlignment="1">
      <alignment horizontal="center" vertical="center" wrapText="1"/>
    </xf>
    <xf numFmtId="43" fontId="2" fillId="0" borderId="1" xfId="0" applyNumberFormat="1" applyFont="1" applyBorder="1"/>
    <xf numFmtId="43" fontId="2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4" fillId="0" borderId="1" xfId="1" applyFont="1" applyBorder="1"/>
    <xf numFmtId="0" fontId="14" fillId="0" borderId="0" xfId="0" applyFont="1" applyAlignment="1">
      <alignment horizontal="center"/>
    </xf>
    <xf numFmtId="0" fontId="35" fillId="0" borderId="0" xfId="0" applyFont="1"/>
    <xf numFmtId="43" fontId="37" fillId="0" borderId="0" xfId="1" applyFont="1" applyBorder="1"/>
    <xf numFmtId="0" fontId="14" fillId="0" borderId="1" xfId="1" applyNumberFormat="1" applyFont="1" applyBorder="1" applyAlignment="1">
      <alignment horizontal="center"/>
    </xf>
    <xf numFmtId="0" fontId="38" fillId="0" borderId="0" xfId="0" applyFont="1"/>
    <xf numFmtId="43" fontId="14" fillId="0" borderId="1" xfId="1" applyFont="1" applyBorder="1" applyAlignment="1">
      <alignment vertical="center" wrapText="1"/>
    </xf>
    <xf numFmtId="43" fontId="14" fillId="0" borderId="1" xfId="1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4" fillId="0" borderId="0" xfId="1" applyNumberFormat="1" applyFont="1" applyBorder="1" applyAlignment="1">
      <alignment horizontal="center"/>
    </xf>
    <xf numFmtId="0" fontId="36" fillId="0" borderId="0" xfId="0" applyFont="1" applyAlignment="1">
      <alignment vertical="center"/>
    </xf>
    <xf numFmtId="43" fontId="0" fillId="0" borderId="0" xfId="1" applyFont="1"/>
    <xf numFmtId="0" fontId="32" fillId="0" borderId="1" xfId="0" applyFont="1" applyBorder="1" applyAlignment="1">
      <alignment horizontal="center" vertical="center" wrapText="1"/>
    </xf>
    <xf numFmtId="39" fontId="14" fillId="40" borderId="68" xfId="71" applyNumberFormat="1" applyFont="1" applyFill="1" applyBorder="1"/>
    <xf numFmtId="39" fontId="14" fillId="0" borderId="0" xfId="71" applyNumberFormat="1" applyFont="1" applyFill="1" applyBorder="1"/>
    <xf numFmtId="39" fontId="14" fillId="40" borderId="73" xfId="71" applyNumberFormat="1" applyFont="1" applyFill="1" applyBorder="1"/>
    <xf numFmtId="39" fontId="22" fillId="17" borderId="70" xfId="71" applyNumberFormat="1" applyFont="1" applyFill="1" applyBorder="1"/>
    <xf numFmtId="39" fontId="22" fillId="0" borderId="0" xfId="71" applyNumberFormat="1" applyFont="1" applyFill="1" applyBorder="1"/>
    <xf numFmtId="10" fontId="14" fillId="8" borderId="66" xfId="69" applyNumberFormat="1" applyFont="1" applyFill="1" applyBorder="1" applyAlignment="1" applyProtection="1"/>
    <xf numFmtId="10" fontId="14" fillId="8" borderId="46" xfId="69" applyNumberFormat="1" applyFont="1" applyFill="1" applyBorder="1" applyAlignment="1" applyProtection="1"/>
    <xf numFmtId="10" fontId="14" fillId="54" borderId="1" xfId="69" applyNumberFormat="1" applyFont="1" applyFill="1" applyBorder="1" applyAlignment="1" applyProtection="1"/>
    <xf numFmtId="10" fontId="14" fillId="54" borderId="9" xfId="69" applyNumberFormat="1" applyFont="1" applyFill="1" applyBorder="1" applyAlignment="1" applyProtection="1"/>
    <xf numFmtId="0" fontId="14" fillId="0" borderId="0" xfId="0" applyFont="1" applyAlignment="1">
      <alignment horizontal="left"/>
    </xf>
    <xf numFmtId="4" fontId="14" fillId="0" borderId="0" xfId="0" applyNumberFormat="1" applyFont="1" applyAlignment="1">
      <alignment wrapText="1"/>
    </xf>
    <xf numFmtId="0" fontId="22" fillId="0" borderId="1" xfId="0" applyFont="1" applyBorder="1" applyAlignment="1">
      <alignment horizontal="justify"/>
    </xf>
    <xf numFmtId="4" fontId="14" fillId="0" borderId="1" xfId="0" applyNumberFormat="1" applyFont="1" applyBorder="1" applyAlignment="1">
      <alignment wrapText="1"/>
    </xf>
    <xf numFmtId="14" fontId="14" fillId="0" borderId="1" xfId="0" applyNumberFormat="1" applyFont="1" applyBorder="1" applyAlignment="1">
      <alignment wrapText="1"/>
    </xf>
    <xf numFmtId="4" fontId="22" fillId="0" borderId="0" xfId="0" applyNumberFormat="1" applyFont="1" applyAlignment="1">
      <alignment wrapText="1"/>
    </xf>
    <xf numFmtId="4" fontId="22" fillId="17" borderId="21" xfId="0" applyNumberFormat="1" applyFont="1" applyFill="1" applyBorder="1" applyAlignment="1">
      <alignment horizontal="center"/>
    </xf>
    <xf numFmtId="4" fontId="22" fillId="0" borderId="0" xfId="0" applyNumberFormat="1" applyFont="1" applyAlignment="1">
      <alignment horizontal="center"/>
    </xf>
    <xf numFmtId="0" fontId="14" fillId="0" borderId="62" xfId="0" applyFont="1" applyBorder="1" applyAlignment="1">
      <alignment horizontal="center" vertical="center"/>
    </xf>
    <xf numFmtId="0" fontId="14" fillId="15" borderId="72" xfId="0" applyFont="1" applyFill="1" applyBorder="1"/>
    <xf numFmtId="0" fontId="14" fillId="0" borderId="50" xfId="0" applyFont="1" applyBorder="1" applyAlignment="1">
      <alignment horizontal="center" vertical="center"/>
    </xf>
    <xf numFmtId="10" fontId="14" fillId="15" borderId="73" xfId="0" applyNumberFormat="1" applyFont="1" applyFill="1" applyBorder="1"/>
    <xf numFmtId="0" fontId="14" fillId="0" borderId="45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14" fillId="0" borderId="74" xfId="0" applyFont="1" applyBorder="1"/>
    <xf numFmtId="0" fontId="14" fillId="0" borderId="0" xfId="0" applyFont="1" applyAlignment="1">
      <alignment horizontal="center" vertical="center"/>
    </xf>
    <xf numFmtId="4" fontId="14" fillId="0" borderId="0" xfId="0" applyNumberFormat="1" applyFont="1"/>
    <xf numFmtId="0" fontId="22" fillId="45" borderId="13" xfId="0" applyFont="1" applyFill="1" applyBorder="1" applyAlignment="1">
      <alignment horizontal="center" vertical="center"/>
    </xf>
    <xf numFmtId="0" fontId="14" fillId="45" borderId="14" xfId="0" applyFont="1" applyFill="1" applyBorder="1"/>
    <xf numFmtId="4" fontId="14" fillId="45" borderId="14" xfId="0" applyNumberFormat="1" applyFont="1" applyFill="1" applyBorder="1"/>
    <xf numFmtId="4" fontId="14" fillId="45" borderId="15" xfId="0" applyNumberFormat="1" applyFont="1" applyFill="1" applyBorder="1"/>
    <xf numFmtId="0" fontId="22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8" borderId="51" xfId="0" applyFon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/>
    </xf>
    <xf numFmtId="4" fontId="22" fillId="8" borderId="53" xfId="0" applyNumberFormat="1" applyFont="1" applyFill="1" applyBorder="1" applyAlignment="1">
      <alignment horizontal="center"/>
    </xf>
    <xf numFmtId="4" fontId="14" fillId="44" borderId="67" xfId="0" applyNumberFormat="1" applyFont="1" applyFill="1" applyBorder="1"/>
    <xf numFmtId="4" fontId="14" fillId="44" borderId="90" xfId="0" applyNumberFormat="1" applyFont="1" applyFill="1" applyBorder="1"/>
    <xf numFmtId="180" fontId="22" fillId="0" borderId="48" xfId="0" applyNumberFormat="1" applyFont="1" applyBorder="1"/>
    <xf numFmtId="4" fontId="22" fillId="44" borderId="49" xfId="0" applyNumberFormat="1" applyFont="1" applyFill="1" applyBorder="1"/>
    <xf numFmtId="4" fontId="22" fillId="0" borderId="0" xfId="0" applyNumberFormat="1" applyFont="1"/>
    <xf numFmtId="0" fontId="22" fillId="8" borderId="52" xfId="0" applyFont="1" applyFill="1" applyBorder="1" applyAlignment="1">
      <alignment horizontal="center" vertical="center"/>
    </xf>
    <xf numFmtId="4" fontId="22" fillId="8" borderId="53" xfId="0" applyNumberFormat="1" applyFont="1" applyFill="1" applyBorder="1" applyAlignment="1">
      <alignment horizontal="center" vertical="center"/>
    </xf>
    <xf numFmtId="10" fontId="22" fillId="0" borderId="48" xfId="0" applyNumberFormat="1" applyFont="1" applyBorder="1"/>
    <xf numFmtId="0" fontId="14" fillId="0" borderId="28" xfId="0" applyFont="1" applyBorder="1" applyAlignment="1">
      <alignment horizontal="center" vertical="center"/>
    </xf>
    <xf numFmtId="0" fontId="22" fillId="45" borderId="61" xfId="0" applyFont="1" applyFill="1" applyBorder="1" applyAlignment="1">
      <alignment horizontal="center" vertical="center"/>
    </xf>
    <xf numFmtId="180" fontId="22" fillId="45" borderId="61" xfId="0" applyNumberFormat="1" applyFont="1" applyFill="1" applyBorder="1"/>
    <xf numFmtId="4" fontId="22" fillId="45" borderId="15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180" fontId="22" fillId="0" borderId="0" xfId="0" applyNumberFormat="1" applyFont="1"/>
    <xf numFmtId="0" fontId="22" fillId="50" borderId="91" xfId="0" applyFont="1" applyFill="1" applyBorder="1" applyAlignment="1">
      <alignment horizontal="center" vertical="center"/>
    </xf>
    <xf numFmtId="0" fontId="22" fillId="50" borderId="95" xfId="0" applyFont="1" applyFill="1" applyBorder="1" applyAlignment="1">
      <alignment horizontal="center"/>
    </xf>
    <xf numFmtId="0" fontId="14" fillId="0" borderId="9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/>
    </xf>
    <xf numFmtId="0" fontId="22" fillId="0" borderId="85" xfId="0" applyFont="1" applyBorder="1" applyAlignment="1">
      <alignment horizontal="center" vertical="center"/>
    </xf>
    <xf numFmtId="180" fontId="22" fillId="0" borderId="85" xfId="0" applyNumberFormat="1" applyFont="1" applyBorder="1"/>
    <xf numFmtId="0" fontId="22" fillId="52" borderId="51" xfId="0" applyFont="1" applyFill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28" xfId="0" applyFont="1" applyBorder="1" applyAlignment="1">
      <alignment horizontal="left"/>
    </xf>
    <xf numFmtId="0" fontId="22" fillId="0" borderId="0" xfId="0" applyFont="1" applyAlignment="1">
      <alignment horizontal="center"/>
    </xf>
    <xf numFmtId="4" fontId="22" fillId="0" borderId="18" xfId="0" applyNumberFormat="1" applyFont="1" applyBorder="1" applyAlignment="1">
      <alignment horizontal="center"/>
    </xf>
    <xf numFmtId="0" fontId="22" fillId="51" borderId="88" xfId="0" applyFont="1" applyFill="1" applyBorder="1" applyAlignment="1">
      <alignment horizontal="center" vertical="center"/>
    </xf>
    <xf numFmtId="0" fontId="22" fillId="51" borderId="56" xfId="0" applyFont="1" applyFill="1" applyBorder="1" applyAlignment="1">
      <alignment horizontal="center"/>
    </xf>
    <xf numFmtId="4" fontId="22" fillId="51" borderId="53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4" fontId="14" fillId="51" borderId="68" xfId="0" applyNumberFormat="1" applyFont="1" applyFill="1" applyBorder="1"/>
    <xf numFmtId="0" fontId="14" fillId="0" borderId="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4" fontId="14" fillId="51" borderId="86" xfId="0" applyNumberFormat="1" applyFont="1" applyFill="1" applyBorder="1"/>
    <xf numFmtId="4" fontId="14" fillId="51" borderId="18" xfId="0" applyNumberFormat="1" applyFont="1" applyFill="1" applyBorder="1"/>
    <xf numFmtId="0" fontId="22" fillId="0" borderId="59" xfId="0" applyFont="1" applyBorder="1" applyAlignment="1">
      <alignment horizontal="center" vertical="center"/>
    </xf>
    <xf numFmtId="10" fontId="22" fillId="0" borderId="85" xfId="0" applyNumberFormat="1" applyFont="1" applyBorder="1"/>
    <xf numFmtId="4" fontId="22" fillId="51" borderId="70" xfId="0" applyNumberFormat="1" applyFont="1" applyFill="1" applyBorder="1"/>
    <xf numFmtId="10" fontId="22" fillId="0" borderId="0" xfId="0" applyNumberFormat="1" applyFont="1"/>
    <xf numFmtId="0" fontId="14" fillId="0" borderId="22" xfId="0" applyFont="1" applyBorder="1" applyAlignment="1">
      <alignment horizontal="center" vertical="center"/>
    </xf>
    <xf numFmtId="10" fontId="22" fillId="0" borderId="82" xfId="0" applyNumberFormat="1" applyFont="1" applyBorder="1"/>
    <xf numFmtId="4" fontId="22" fillId="51" borderId="49" xfId="0" applyNumberFormat="1" applyFont="1" applyFill="1" applyBorder="1"/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right"/>
    </xf>
    <xf numFmtId="10" fontId="22" fillId="0" borderId="4" xfId="0" applyNumberFormat="1" applyFont="1" applyBorder="1"/>
    <xf numFmtId="4" fontId="22" fillId="0" borderId="4" xfId="0" applyNumberFormat="1" applyFont="1" applyBorder="1"/>
    <xf numFmtId="0" fontId="22" fillId="52" borderId="61" xfId="0" applyFont="1" applyFill="1" applyBorder="1" applyAlignment="1">
      <alignment horizontal="center" vertical="center"/>
    </xf>
    <xf numFmtId="180" fontId="22" fillId="52" borderId="61" xfId="0" applyNumberFormat="1" applyFont="1" applyFill="1" applyBorder="1"/>
    <xf numFmtId="4" fontId="22" fillId="52" borderId="15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42" borderId="61" xfId="0" applyFont="1" applyFill="1" applyBorder="1" applyAlignment="1">
      <alignment horizontal="center" vertical="center"/>
    </xf>
    <xf numFmtId="0" fontId="22" fillId="42" borderId="61" xfId="0" applyFont="1" applyFill="1" applyBorder="1" applyAlignment="1">
      <alignment horizontal="center"/>
    </xf>
    <xf numFmtId="4" fontId="22" fillId="42" borderId="61" xfId="0" applyNumberFormat="1" applyFont="1" applyFill="1" applyBorder="1" applyAlignment="1">
      <alignment horizontal="center"/>
    </xf>
    <xf numFmtId="0" fontId="14" fillId="0" borderId="72" xfId="0" applyFont="1" applyBorder="1" applyAlignment="1">
      <alignment horizontal="center" vertical="center"/>
    </xf>
    <xf numFmtId="0" fontId="14" fillId="43" borderId="72" xfId="0" applyFont="1" applyFill="1" applyBorder="1"/>
    <xf numFmtId="4" fontId="14" fillId="41" borderId="72" xfId="0" applyNumberFormat="1" applyFont="1" applyFill="1" applyBorder="1"/>
    <xf numFmtId="0" fontId="14" fillId="0" borderId="73" xfId="0" applyFont="1" applyBorder="1" applyAlignment="1">
      <alignment horizontal="center" vertical="center"/>
    </xf>
    <xf numFmtId="0" fontId="14" fillId="43" borderId="75" xfId="0" applyFont="1" applyFill="1" applyBorder="1"/>
    <xf numFmtId="0" fontId="14" fillId="0" borderId="75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43" borderId="83" xfId="0" applyFont="1" applyFill="1" applyBorder="1"/>
    <xf numFmtId="4" fontId="14" fillId="41" borderId="83" xfId="0" applyNumberFormat="1" applyFont="1" applyFill="1" applyBorder="1"/>
    <xf numFmtId="0" fontId="20" fillId="0" borderId="81" xfId="0" applyFont="1" applyBorder="1" applyAlignment="1">
      <alignment horizontal="center" vertical="center" wrapText="1"/>
    </xf>
    <xf numFmtId="10" fontId="14" fillId="0" borderId="81" xfId="0" applyNumberFormat="1" applyFont="1" applyBorder="1"/>
    <xf numFmtId="4" fontId="22" fillId="42" borderId="81" xfId="0" applyNumberFormat="1" applyFont="1" applyFill="1" applyBorder="1"/>
    <xf numFmtId="0" fontId="22" fillId="47" borderId="13" xfId="0" applyFont="1" applyFill="1" applyBorder="1" applyAlignment="1">
      <alignment horizontal="center" vertical="center"/>
    </xf>
    <xf numFmtId="180" fontId="22" fillId="47" borderId="61" xfId="0" applyNumberFormat="1" applyFont="1" applyFill="1" applyBorder="1" applyAlignment="1">
      <alignment vertical="center"/>
    </xf>
    <xf numFmtId="4" fontId="22" fillId="46" borderId="15" xfId="0" applyNumberFormat="1" applyFont="1" applyFill="1" applyBorder="1" applyAlignment="1">
      <alignment vertical="center"/>
    </xf>
    <xf numFmtId="0" fontId="22" fillId="48" borderId="61" xfId="0" applyFont="1" applyFill="1" applyBorder="1" applyAlignment="1">
      <alignment horizontal="center" vertical="center"/>
    </xf>
    <xf numFmtId="0" fontId="22" fillId="48" borderId="61" xfId="0" applyFont="1" applyFill="1" applyBorder="1" applyAlignment="1">
      <alignment horizontal="center"/>
    </xf>
    <xf numFmtId="4" fontId="22" fillId="48" borderId="61" xfId="0" applyNumberFormat="1" applyFont="1" applyFill="1" applyBorder="1" applyAlignment="1">
      <alignment horizontal="center"/>
    </xf>
    <xf numFmtId="4" fontId="14" fillId="2" borderId="72" xfId="0" applyNumberFormat="1" applyFont="1" applyFill="1" applyBorder="1"/>
    <xf numFmtId="0" fontId="21" fillId="0" borderId="76" xfId="0" applyFont="1" applyBorder="1" applyAlignment="1">
      <alignment horizontal="left"/>
    </xf>
    <xf numFmtId="0" fontId="21" fillId="0" borderId="77" xfId="0" applyFont="1" applyBorder="1" applyAlignment="1">
      <alignment horizontal="left"/>
    </xf>
    <xf numFmtId="0" fontId="21" fillId="0" borderId="71" xfId="0" applyFont="1" applyBorder="1" applyAlignment="1">
      <alignment horizontal="left"/>
    </xf>
    <xf numFmtId="4" fontId="14" fillId="2" borderId="73" xfId="0" applyNumberFormat="1" applyFont="1" applyFill="1" applyBorder="1"/>
    <xf numFmtId="4" fontId="14" fillId="0" borderId="75" xfId="0" applyNumberFormat="1" applyFont="1" applyBorder="1"/>
    <xf numFmtId="4" fontId="14" fillId="2" borderId="75" xfId="0" applyNumberFormat="1" applyFont="1" applyFill="1" applyBorder="1"/>
    <xf numFmtId="0" fontId="14" fillId="0" borderId="81" xfId="0" applyFont="1" applyBorder="1" applyAlignment="1">
      <alignment vertical="center"/>
    </xf>
    <xf numFmtId="4" fontId="22" fillId="48" borderId="81" xfId="0" applyNumberFormat="1" applyFont="1" applyFill="1" applyBorder="1" applyAlignment="1">
      <alignment vertical="center"/>
    </xf>
    <xf numFmtId="0" fontId="22" fillId="0" borderId="0" xfId="0" applyFont="1"/>
    <xf numFmtId="0" fontId="22" fillId="0" borderId="2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4" fontId="14" fillId="0" borderId="17" xfId="0" applyNumberFormat="1" applyFont="1" applyBorder="1" applyAlignment="1">
      <alignment horizontal="right" vertical="center"/>
    </xf>
    <xf numFmtId="0" fontId="14" fillId="0" borderId="96" xfId="0" applyFont="1" applyBorder="1" applyAlignment="1">
      <alignment horizontal="center" vertical="center"/>
    </xf>
    <xf numFmtId="4" fontId="14" fillId="0" borderId="97" xfId="0" applyNumberFormat="1" applyFont="1" applyBorder="1" applyAlignment="1">
      <alignment horizontal="right" vertical="center"/>
    </xf>
    <xf numFmtId="4" fontId="14" fillId="0" borderId="98" xfId="0" applyNumberFormat="1" applyFont="1" applyBorder="1" applyAlignment="1">
      <alignment horizontal="right" vertical="center"/>
    </xf>
    <xf numFmtId="0" fontId="22" fillId="14" borderId="19" xfId="0" applyFont="1" applyFill="1" applyBorder="1" applyAlignment="1">
      <alignment horizontal="center" vertical="center"/>
    </xf>
    <xf numFmtId="4" fontId="22" fillId="14" borderId="21" xfId="0" applyNumberFormat="1" applyFont="1" applyFill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99" xfId="0" applyFont="1" applyBorder="1" applyAlignment="1">
      <alignment horizontal="center" vertical="center"/>
    </xf>
    <xf numFmtId="0" fontId="22" fillId="14" borderId="16" xfId="0" applyFont="1" applyFill="1" applyBorder="1" applyAlignment="1">
      <alignment horizontal="center" vertical="center"/>
    </xf>
    <xf numFmtId="4" fontId="22" fillId="14" borderId="1" xfId="0" applyNumberFormat="1" applyFont="1" applyFill="1" applyBorder="1" applyAlignment="1">
      <alignment horizontal="center" vertical="center"/>
    </xf>
    <xf numFmtId="4" fontId="22" fillId="14" borderId="17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justify"/>
    </xf>
    <xf numFmtId="4" fontId="14" fillId="0" borderId="9" xfId="0" applyNumberFormat="1" applyFont="1" applyBorder="1" applyAlignment="1">
      <alignment horizontal="center" wrapText="1"/>
    </xf>
    <xf numFmtId="43" fontId="14" fillId="0" borderId="1" xfId="1" applyFont="1" applyBorder="1" applyAlignment="1">
      <alignment wrapText="1"/>
    </xf>
    <xf numFmtId="0" fontId="14" fillId="0" borderId="7" xfId="0" applyFont="1" applyBorder="1" applyAlignment="1">
      <alignment horizontal="center" vertical="center" wrapText="1"/>
    </xf>
    <xf numFmtId="43" fontId="2" fillId="0" borderId="0" xfId="1" applyFont="1" applyAlignment="1">
      <alignment horizontal="center"/>
    </xf>
    <xf numFmtId="0" fontId="22" fillId="17" borderId="100" xfId="0" applyFont="1" applyFill="1" applyBorder="1" applyAlignment="1">
      <alignment horizontal="center" vertical="center"/>
    </xf>
    <xf numFmtId="0" fontId="22" fillId="17" borderId="85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4" fillId="56" borderId="1" xfId="0" applyFont="1" applyFill="1" applyBorder="1" applyAlignment="1">
      <alignment horizontal="center" vertical="center" wrapText="1"/>
    </xf>
    <xf numFmtId="0" fontId="54" fillId="56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54" fillId="0" borderId="0" xfId="0" applyFont="1"/>
    <xf numFmtId="0" fontId="60" fillId="0" borderId="0" xfId="5" applyFont="1" applyAlignment="1">
      <alignment vertical="center" wrapText="1"/>
    </xf>
    <xf numFmtId="43" fontId="0" fillId="0" borderId="1" xfId="0" applyNumberFormat="1" applyBorder="1" applyAlignment="1">
      <alignment horizontal="center" vertical="center"/>
    </xf>
    <xf numFmtId="0" fontId="62" fillId="8" borderId="1" xfId="5" applyFont="1" applyFill="1" applyBorder="1" applyAlignment="1">
      <alignment horizontal="center" vertical="center" wrapText="1"/>
    </xf>
    <xf numFmtId="0" fontId="62" fillId="0" borderId="1" xfId="5" applyFont="1" applyBorder="1" applyAlignment="1">
      <alignment horizontal="center" vertical="center" wrapText="1"/>
    </xf>
    <xf numFmtId="0" fontId="60" fillId="0" borderId="102" xfId="5" applyFont="1" applyBorder="1" applyAlignment="1">
      <alignment vertical="center" wrapText="1"/>
    </xf>
    <xf numFmtId="0" fontId="60" fillId="0" borderId="102" xfId="5" applyFont="1" applyBorder="1" applyAlignment="1">
      <alignment horizontal="center" vertical="center" wrapText="1"/>
    </xf>
    <xf numFmtId="10" fontId="60" fillId="0" borderId="1" xfId="33" applyNumberFormat="1" applyFont="1" applyFill="1" applyBorder="1" applyAlignment="1">
      <alignment horizontal="right" vertical="center" wrapText="1"/>
    </xf>
    <xf numFmtId="43" fontId="60" fillId="0" borderId="1" xfId="33" applyFont="1" applyFill="1" applyBorder="1" applyAlignment="1">
      <alignment horizontal="left" vertical="center" wrapText="1"/>
    </xf>
    <xf numFmtId="10" fontId="62" fillId="8" borderId="1" xfId="33" applyNumberFormat="1" applyFont="1" applyFill="1" applyBorder="1" applyAlignment="1">
      <alignment horizontal="right" vertical="center" wrapText="1"/>
    </xf>
    <xf numFmtId="43" fontId="62" fillId="8" borderId="1" xfId="33" applyFont="1" applyFill="1" applyBorder="1" applyAlignment="1">
      <alignment horizontal="left" vertical="center" wrapText="1"/>
    </xf>
    <xf numFmtId="0" fontId="62" fillId="6" borderId="0" xfId="5" applyFont="1" applyFill="1" applyAlignment="1">
      <alignment vertical="center" wrapText="1"/>
    </xf>
    <xf numFmtId="0" fontId="60" fillId="0" borderId="12" xfId="5" applyFont="1" applyBorder="1" applyAlignment="1">
      <alignment horizontal="center" vertical="center" wrapText="1"/>
    </xf>
    <xf numFmtId="10" fontId="62" fillId="8" borderId="1" xfId="5" applyNumberFormat="1" applyFont="1" applyFill="1" applyBorder="1" applyAlignment="1">
      <alignment horizontal="right" vertical="center" wrapText="1"/>
    </xf>
    <xf numFmtId="0" fontId="62" fillId="0" borderId="10" xfId="5" applyFont="1" applyBorder="1" applyAlignment="1">
      <alignment horizontal="left" vertical="center" wrapText="1"/>
    </xf>
    <xf numFmtId="10" fontId="62" fillId="0" borderId="10" xfId="5" applyNumberFormat="1" applyFont="1" applyBorder="1" applyAlignment="1">
      <alignment horizontal="right" vertical="center" wrapText="1"/>
    </xf>
    <xf numFmtId="43" fontId="62" fillId="0" borderId="10" xfId="33" applyFont="1" applyFill="1" applyBorder="1" applyAlignment="1">
      <alignment horizontal="right" vertical="center" wrapText="1"/>
    </xf>
    <xf numFmtId="0" fontId="60" fillId="0" borderId="0" xfId="5" applyFont="1" applyAlignment="1">
      <alignment horizontal="left" vertical="center" wrapText="1"/>
    </xf>
    <xf numFmtId="4" fontId="63" fillId="0" borderId="0" xfId="5" applyNumberFormat="1" applyFont="1" applyAlignment="1">
      <alignment horizontal="right" vertical="center" wrapText="1"/>
    </xf>
    <xf numFmtId="44" fontId="63" fillId="0" borderId="0" xfId="5" applyNumberFormat="1" applyFont="1" applyAlignment="1">
      <alignment horizontal="center" vertical="center" wrapText="1"/>
    </xf>
    <xf numFmtId="0" fontId="63" fillId="0" borderId="0" xfId="5" applyFont="1" applyAlignment="1">
      <alignment vertical="center" wrapText="1"/>
    </xf>
    <xf numFmtId="0" fontId="63" fillId="0" borderId="31" xfId="5" applyFont="1" applyBorder="1" applyAlignment="1">
      <alignment vertical="center" wrapText="1"/>
    </xf>
    <xf numFmtId="0" fontId="63" fillId="0" borderId="29" xfId="5" applyFont="1" applyBorder="1" applyAlignment="1">
      <alignment vertical="center" wrapText="1"/>
    </xf>
    <xf numFmtId="0" fontId="60" fillId="0" borderId="29" xfId="5" applyFont="1" applyBorder="1" applyAlignment="1">
      <alignment horizontal="justify" vertical="center" wrapText="1"/>
    </xf>
    <xf numFmtId="0" fontId="60" fillId="0" borderId="31" xfId="5" applyFont="1" applyBorder="1" applyAlignment="1">
      <alignment horizontal="justify" vertical="center" wrapText="1"/>
    </xf>
    <xf numFmtId="0" fontId="60" fillId="0" borderId="0" xfId="5" applyFont="1" applyAlignment="1">
      <alignment horizontal="justify" vertical="center" wrapText="1"/>
    </xf>
    <xf numFmtId="0" fontId="60" fillId="0" borderId="31" xfId="5" applyFont="1" applyBorder="1" applyAlignment="1">
      <alignment horizontal="left" vertical="center" wrapText="1"/>
    </xf>
    <xf numFmtId="0" fontId="60" fillId="0" borderId="31" xfId="5" applyFont="1" applyBorder="1" applyAlignment="1">
      <alignment vertical="center" wrapText="1"/>
    </xf>
    <xf numFmtId="0" fontId="60" fillId="0" borderId="29" xfId="5" applyFont="1" applyBorder="1" applyAlignment="1">
      <alignment vertical="center" wrapText="1"/>
    </xf>
    <xf numFmtId="0" fontId="62" fillId="43" borderId="1" xfId="0" applyFont="1" applyFill="1" applyBorder="1" applyAlignment="1">
      <alignment vertical="center" wrapText="1"/>
    </xf>
    <xf numFmtId="0" fontId="60" fillId="43" borderId="1" xfId="0" applyFont="1" applyFill="1" applyBorder="1" applyAlignment="1">
      <alignment vertical="center" wrapText="1"/>
    </xf>
    <xf numFmtId="0" fontId="60" fillId="0" borderId="6" xfId="5" applyFont="1" applyBorder="1" applyAlignment="1">
      <alignment horizontal="left" vertical="center" wrapText="1"/>
    </xf>
    <xf numFmtId="0" fontId="60" fillId="0" borderId="8" xfId="5" applyFont="1" applyBorder="1" applyAlignment="1">
      <alignment horizontal="left" vertical="center" wrapText="1"/>
    </xf>
    <xf numFmtId="0" fontId="65" fillId="0" borderId="9" xfId="5" applyFont="1" applyBorder="1" applyAlignment="1">
      <alignment horizontal="left" vertical="center" wrapText="1"/>
    </xf>
    <xf numFmtId="0" fontId="62" fillId="0" borderId="0" xfId="5" applyFont="1" applyAlignment="1">
      <alignment horizontal="left" vertical="center" wrapText="1"/>
    </xf>
    <xf numFmtId="10" fontId="62" fillId="0" borderId="0" xfId="5" applyNumberFormat="1" applyFont="1" applyAlignment="1">
      <alignment horizontal="right" vertical="center" wrapText="1"/>
    </xf>
    <xf numFmtId="10" fontId="60" fillId="6" borderId="1" xfId="6" applyNumberFormat="1" applyFont="1" applyFill="1" applyBorder="1" applyAlignment="1">
      <alignment horizontal="right" vertical="center" wrapText="1"/>
    </xf>
    <xf numFmtId="43" fontId="60" fillId="6" borderId="1" xfId="33" applyFont="1" applyFill="1" applyBorder="1" applyAlignment="1">
      <alignment horizontal="left" vertical="center" wrapText="1"/>
    </xf>
    <xf numFmtId="0" fontId="62" fillId="0" borderId="0" xfId="5" applyFont="1" applyAlignment="1">
      <alignment horizontal="center" vertical="center" wrapText="1"/>
    </xf>
    <xf numFmtId="43" fontId="62" fillId="0" borderId="0" xfId="33" applyFont="1" applyFill="1" applyBorder="1" applyAlignment="1">
      <alignment horizontal="left" vertical="center" wrapText="1"/>
    </xf>
    <xf numFmtId="0" fontId="60" fillId="0" borderId="1" xfId="5" applyFont="1" applyBorder="1" applyAlignment="1">
      <alignment vertical="center" wrapText="1"/>
    </xf>
    <xf numFmtId="0" fontId="60" fillId="0" borderId="1" xfId="5" applyFont="1" applyBorder="1" applyAlignment="1">
      <alignment horizontal="center" vertical="center" wrapText="1"/>
    </xf>
    <xf numFmtId="0" fontId="62" fillId="0" borderId="30" xfId="5" applyFont="1" applyBorder="1" applyAlignment="1">
      <alignment horizontal="center" vertical="center" wrapText="1"/>
    </xf>
    <xf numFmtId="0" fontId="60" fillId="0" borderId="3" xfId="5" applyFont="1" applyBorder="1" applyAlignment="1">
      <alignment vertical="center" wrapText="1"/>
    </xf>
    <xf numFmtId="10" fontId="60" fillId="0" borderId="3" xfId="33" applyNumberFormat="1" applyFont="1" applyFill="1" applyBorder="1" applyAlignment="1">
      <alignment horizontal="right" vertical="center" wrapText="1"/>
    </xf>
    <xf numFmtId="43" fontId="60" fillId="0" borderId="3" xfId="33" applyFont="1" applyFill="1" applyBorder="1" applyAlignment="1">
      <alignment horizontal="left" vertical="center" wrapText="1"/>
    </xf>
    <xf numFmtId="10" fontId="62" fillId="0" borderId="0" xfId="33" applyNumberFormat="1" applyFont="1" applyFill="1" applyBorder="1" applyAlignment="1">
      <alignment horizontal="right" vertical="center" wrapText="1"/>
    </xf>
    <xf numFmtId="0" fontId="63" fillId="0" borderId="0" xfId="5" applyFont="1" applyAlignment="1">
      <alignment horizontal="left" vertical="center" wrapText="1"/>
    </xf>
    <xf numFmtId="10" fontId="60" fillId="0" borderId="0" xfId="5" applyNumberFormat="1" applyFont="1" applyAlignment="1">
      <alignment vertical="center" wrapText="1"/>
    </xf>
    <xf numFmtId="10" fontId="62" fillId="0" borderId="8" xfId="5" applyNumberFormat="1" applyFont="1" applyBorder="1" applyAlignment="1">
      <alignment vertical="center" wrapText="1"/>
    </xf>
    <xf numFmtId="0" fontId="60" fillId="0" borderId="8" xfId="5" applyFont="1" applyBorder="1" applyAlignment="1">
      <alignment vertical="center" wrapText="1"/>
    </xf>
    <xf numFmtId="0" fontId="60" fillId="0" borderId="9" xfId="5" applyFont="1" applyBorder="1" applyAlignment="1">
      <alignment vertical="center" wrapText="1"/>
    </xf>
    <xf numFmtId="10" fontId="62" fillId="0" borderId="0" xfId="5" applyNumberFormat="1" applyFont="1" applyAlignment="1">
      <alignment vertical="center" wrapText="1"/>
    </xf>
    <xf numFmtId="0" fontId="64" fillId="0" borderId="0" xfId="5" applyFont="1" applyAlignment="1">
      <alignment horizontal="left" vertical="center" wrapText="1"/>
    </xf>
    <xf numFmtId="10" fontId="14" fillId="53" borderId="104" xfId="69" quotePrefix="1" applyNumberFormat="1" applyFont="1" applyFill="1" applyBorder="1" applyAlignment="1" applyProtection="1">
      <alignment horizontal="center"/>
    </xf>
    <xf numFmtId="4" fontId="22" fillId="50" borderId="101" xfId="0" applyNumberFormat="1" applyFont="1" applyFill="1" applyBorder="1" applyAlignment="1">
      <alignment horizontal="center"/>
    </xf>
    <xf numFmtId="4" fontId="22" fillId="50" borderId="105" xfId="0" applyNumberFormat="1" applyFont="1" applyFill="1" applyBorder="1" applyAlignment="1">
      <alignment horizontal="center"/>
    </xf>
    <xf numFmtId="4" fontId="22" fillId="50" borderId="19" xfId="0" applyNumberFormat="1" applyFont="1" applyFill="1" applyBorder="1"/>
    <xf numFmtId="4" fontId="22" fillId="50" borderId="85" xfId="0" applyNumberFormat="1" applyFont="1" applyFill="1" applyBorder="1"/>
    <xf numFmtId="4" fontId="22" fillId="50" borderId="21" xfId="0" applyNumberFormat="1" applyFont="1" applyFill="1" applyBorder="1"/>
    <xf numFmtId="4" fontId="14" fillId="50" borderId="1" xfId="0" applyNumberFormat="1" applyFont="1" applyFill="1" applyBorder="1"/>
    <xf numFmtId="4" fontId="14" fillId="50" borderId="23" xfId="0" applyNumberFormat="1" applyFont="1" applyFill="1" applyBorder="1"/>
    <xf numFmtId="4" fontId="14" fillId="50" borderId="24" xfId="0" applyNumberFormat="1" applyFont="1" applyFill="1" applyBorder="1"/>
    <xf numFmtId="4" fontId="14" fillId="50" borderId="25" xfId="0" applyNumberFormat="1" applyFont="1" applyFill="1" applyBorder="1"/>
    <xf numFmtId="4" fontId="14" fillId="50" borderId="16" xfId="0" applyNumberFormat="1" applyFont="1" applyFill="1" applyBorder="1"/>
    <xf numFmtId="4" fontId="14" fillId="50" borderId="17" xfId="0" applyNumberFormat="1" applyFont="1" applyFill="1" applyBorder="1"/>
    <xf numFmtId="4" fontId="14" fillId="50" borderId="96" xfId="0" applyNumberFormat="1" applyFont="1" applyFill="1" applyBorder="1"/>
    <xf numFmtId="4" fontId="14" fillId="50" borderId="97" xfId="0" applyNumberFormat="1" applyFont="1" applyFill="1" applyBorder="1"/>
    <xf numFmtId="4" fontId="14" fillId="50" borderId="98" xfId="0" applyNumberFormat="1" applyFont="1" applyFill="1" applyBorder="1"/>
    <xf numFmtId="4" fontId="14" fillId="0" borderId="4" xfId="0" applyNumberFormat="1" applyFont="1" applyBorder="1" applyAlignment="1">
      <alignment horizontal="right" vertical="center"/>
    </xf>
    <xf numFmtId="4" fontId="14" fillId="0" borderId="107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43" fontId="26" fillId="0" borderId="1" xfId="1" applyFont="1" applyBorder="1" applyAlignment="1">
      <alignment wrapText="1"/>
    </xf>
    <xf numFmtId="44" fontId="60" fillId="0" borderId="0" xfId="5" applyNumberFormat="1" applyFont="1" applyAlignment="1">
      <alignment horizontal="center" vertical="center" wrapText="1"/>
    </xf>
    <xf numFmtId="43" fontId="60" fillId="0" borderId="0" xfId="1" applyFont="1" applyAlignment="1">
      <alignment horizontal="left" vertical="center" wrapText="1"/>
    </xf>
    <xf numFmtId="0" fontId="62" fillId="0" borderId="2" xfId="5" applyFont="1" applyBorder="1" applyAlignment="1">
      <alignment horizontal="center" vertical="center" wrapText="1"/>
    </xf>
    <xf numFmtId="10" fontId="14" fillId="8" borderId="66" xfId="0" applyNumberFormat="1" applyFont="1" applyFill="1" applyBorder="1"/>
    <xf numFmtId="10" fontId="14" fillId="8" borderId="89" xfId="69" applyNumberFormat="1" applyFont="1" applyFill="1" applyBorder="1" applyAlignment="1" applyProtection="1"/>
    <xf numFmtId="10" fontId="14" fillId="53" borderId="103" xfId="69" applyNumberFormat="1" applyFont="1" applyFill="1" applyBorder="1" applyAlignment="1" applyProtection="1"/>
    <xf numFmtId="10" fontId="14" fillId="53" borderId="104" xfId="69" applyNumberFormat="1" applyFont="1" applyFill="1" applyBorder="1" applyAlignment="1" applyProtection="1"/>
    <xf numFmtId="10" fontId="14" fillId="54" borderId="93" xfId="69" applyNumberFormat="1" applyFont="1" applyFill="1" applyBorder="1" applyAlignment="1" applyProtection="1"/>
    <xf numFmtId="10" fontId="14" fillId="54" borderId="84" xfId="69" applyNumberFormat="1" applyFont="1" applyFill="1" applyBorder="1" applyAlignment="1" applyProtection="1"/>
    <xf numFmtId="10" fontId="14" fillId="54" borderId="94" xfId="69" applyNumberFormat="1" applyFont="1" applyFill="1" applyBorder="1" applyAlignment="1" applyProtection="1"/>
    <xf numFmtId="10" fontId="14" fillId="4" borderId="72" xfId="0" applyNumberFormat="1" applyFont="1" applyFill="1" applyBorder="1"/>
    <xf numFmtId="10" fontId="14" fillId="4" borderId="75" xfId="0" applyNumberFormat="1" applyFont="1" applyFill="1" applyBorder="1"/>
    <xf numFmtId="172" fontId="14" fillId="4" borderId="75" xfId="0" applyNumberFormat="1" applyFont="1" applyFill="1" applyBorder="1"/>
    <xf numFmtId="172" fontId="14" fillId="0" borderId="75" xfId="0" applyNumberFormat="1" applyFont="1" applyBorder="1"/>
    <xf numFmtId="43" fontId="0" fillId="0" borderId="1" xfId="1" applyFont="1" applyFill="1" applyBorder="1" applyAlignment="1">
      <alignment horizontal="center" vertical="center"/>
    </xf>
    <xf numFmtId="0" fontId="2" fillId="0" borderId="1" xfId="84" applyFont="1" applyBorder="1" applyAlignment="1">
      <alignment vertical="center" wrapText="1"/>
    </xf>
    <xf numFmtId="4" fontId="26" fillId="0" borderId="1" xfId="0" applyNumberFormat="1" applyFont="1" applyBorder="1" applyAlignment="1">
      <alignment wrapText="1"/>
    </xf>
    <xf numFmtId="4" fontId="22" fillId="47" borderId="1" xfId="0" applyNumberFormat="1" applyFont="1" applyFill="1" applyBorder="1" applyAlignment="1">
      <alignment horizontal="center" vertical="center" wrapText="1"/>
    </xf>
    <xf numFmtId="4" fontId="22" fillId="47" borderId="88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4" fontId="22" fillId="0" borderId="0" xfId="0" applyNumberFormat="1" applyFont="1" applyAlignment="1">
      <alignment horizontal="center" vertical="center"/>
    </xf>
    <xf numFmtId="0" fontId="70" fillId="0" borderId="1" xfId="0" applyFont="1" applyBorder="1" applyAlignment="1">
      <alignment horizontal="center"/>
    </xf>
    <xf numFmtId="0" fontId="71" fillId="0" borderId="0" xfId="0" applyFont="1"/>
    <xf numFmtId="0" fontId="72" fillId="0" borderId="1" xfId="0" applyFont="1" applyBorder="1" applyAlignment="1">
      <alignment horizontal="center" vertical="center" wrapText="1"/>
    </xf>
    <xf numFmtId="0" fontId="71" fillId="0" borderId="1" xfId="0" quotePrefix="1" applyFont="1" applyBorder="1" applyAlignment="1">
      <alignment horizontal="center" vertical="center"/>
    </xf>
    <xf numFmtId="4" fontId="71" fillId="0" borderId="1" xfId="0" applyNumberFormat="1" applyFont="1" applyBorder="1" applyAlignment="1">
      <alignment horizontal="center" vertical="center"/>
    </xf>
    <xf numFmtId="0" fontId="0" fillId="0" borderId="0" xfId="0" quotePrefix="1"/>
    <xf numFmtId="4" fontId="22" fillId="16" borderId="1" xfId="0" applyNumberFormat="1" applyFont="1" applyFill="1" applyBorder="1" applyAlignment="1">
      <alignment horizontal="center" vertical="center" wrapText="1"/>
    </xf>
    <xf numFmtId="4" fontId="22" fillId="16" borderId="88" xfId="0" applyNumberFormat="1" applyFont="1" applyFill="1" applyBorder="1" applyAlignment="1">
      <alignment horizontal="center" vertical="center" wrapText="1"/>
    </xf>
    <xf numFmtId="4" fontId="22" fillId="16" borderId="26" xfId="0" applyNumberFormat="1" applyFont="1" applyFill="1" applyBorder="1" applyAlignment="1">
      <alignment horizontal="center" vertical="center" wrapText="1"/>
    </xf>
    <xf numFmtId="4" fontId="22" fillId="16" borderId="27" xfId="0" applyNumberFormat="1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/>
    </xf>
    <xf numFmtId="43" fontId="22" fillId="0" borderId="1" xfId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3" fontId="14" fillId="0" borderId="0" xfId="1" applyFont="1" applyBorder="1" applyAlignment="1">
      <alignment horizontal="center"/>
    </xf>
    <xf numFmtId="43" fontId="16" fillId="0" borderId="0" xfId="1" applyFont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6" borderId="1" xfId="0" quotePrefix="1" applyFont="1" applyFill="1" applyBorder="1" applyAlignment="1">
      <alignment horizontal="center" vertical="center" wrapText="1"/>
    </xf>
    <xf numFmtId="4" fontId="26" fillId="9" borderId="0" xfId="13" applyNumberFormat="1" applyFont="1" applyFill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" fontId="26" fillId="0" borderId="0" xfId="0" applyNumberFormat="1" applyFont="1" applyAlignment="1">
      <alignment horizontal="center"/>
    </xf>
    <xf numFmtId="43" fontId="1" fillId="0" borderId="1" xfId="1" applyFont="1" applyBorder="1"/>
    <xf numFmtId="0" fontId="2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justify" vertical="center"/>
    </xf>
    <xf numFmtId="0" fontId="14" fillId="6" borderId="1" xfId="0" applyFont="1" applyFill="1" applyBorder="1" applyAlignment="1">
      <alignment horizontal="justify" vertical="center" wrapText="1"/>
    </xf>
    <xf numFmtId="0" fontId="14" fillId="6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8" fillId="0" borderId="0" xfId="0" applyFont="1"/>
    <xf numFmtId="0" fontId="22" fillId="4" borderId="1" xfId="0" applyFont="1" applyFill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/>
    </xf>
    <xf numFmtId="43" fontId="14" fillId="0" borderId="102" xfId="1" applyFont="1" applyBorder="1"/>
    <xf numFmtId="43" fontId="2" fillId="0" borderId="102" xfId="1" applyFont="1" applyBorder="1"/>
    <xf numFmtId="0" fontId="2" fillId="0" borderId="1" xfId="0" applyFont="1" applyBorder="1" applyAlignment="1">
      <alignment horizontal="left" wrapText="1"/>
    </xf>
    <xf numFmtId="0" fontId="2" fillId="0" borderId="109" xfId="0" applyFont="1" applyBorder="1" applyAlignment="1">
      <alignment horizontal="left" wrapText="1"/>
    </xf>
    <xf numFmtId="0" fontId="14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wrapText="1"/>
    </xf>
    <xf numFmtId="43" fontId="2" fillId="0" borderId="0" xfId="1" applyFont="1" applyBorder="1"/>
    <xf numFmtId="0" fontId="14" fillId="0" borderId="7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43" fontId="2" fillId="0" borderId="1" xfId="0" applyNumberFormat="1" applyFont="1" applyBorder="1" applyAlignment="1">
      <alignment horizontal="center"/>
    </xf>
    <xf numFmtId="43" fontId="2" fillId="0" borderId="0" xfId="1" applyFont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6" fillId="0" borderId="0" xfId="1" applyFont="1"/>
    <xf numFmtId="43" fontId="26" fillId="0" borderId="0" xfId="1" applyFont="1" applyAlignment="1">
      <alignment horizontal="center" vertical="center" wrapText="1"/>
    </xf>
    <xf numFmtId="43" fontId="26" fillId="0" borderId="0" xfId="1" applyFont="1" applyAlignment="1">
      <alignment horizontal="center" vertical="center"/>
    </xf>
    <xf numFmtId="0" fontId="20" fillId="59" borderId="1" xfId="13" applyFont="1" applyFill="1" applyBorder="1" applyAlignment="1">
      <alignment horizontal="center" vertical="center" wrapText="1"/>
    </xf>
    <xf numFmtId="0" fontId="20" fillId="59" borderId="1" xfId="13" applyFont="1" applyFill="1" applyBorder="1" applyAlignment="1">
      <alignment horizontal="left" vertical="center" wrapText="1"/>
    </xf>
    <xf numFmtId="4" fontId="22" fillId="59" borderId="1" xfId="13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66" fillId="0" borderId="0" xfId="0" applyFont="1"/>
    <xf numFmtId="170" fontId="66" fillId="0" borderId="0" xfId="0" applyNumberFormat="1" applyFont="1" applyAlignment="1">
      <alignment horizontal="center"/>
    </xf>
    <xf numFmtId="4" fontId="22" fillId="12" borderId="4" xfId="13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/>
    </xf>
    <xf numFmtId="173" fontId="2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0" fontId="20" fillId="60" borderId="1" xfId="13" applyFont="1" applyFill="1" applyBorder="1" applyAlignment="1">
      <alignment horizontal="center" vertical="center" wrapText="1"/>
    </xf>
    <xf numFmtId="4" fontId="20" fillId="60" borderId="1" xfId="13" applyNumberFormat="1" applyFont="1" applyFill="1" applyBorder="1" applyAlignment="1">
      <alignment horizontal="center" vertical="center" wrapText="1"/>
    </xf>
    <xf numFmtId="4" fontId="22" fillId="60" borderId="1" xfId="13" applyNumberFormat="1" applyFont="1" applyFill="1" applyBorder="1" applyAlignment="1">
      <alignment horizontal="center" vertical="center" wrapText="1"/>
    </xf>
    <xf numFmtId="170" fontId="2" fillId="0" borderId="0" xfId="0" applyNumberFormat="1" applyFont="1" applyAlignment="1">
      <alignment horizontal="right"/>
    </xf>
    <xf numFmtId="0" fontId="1" fillId="61" borderId="0" xfId="0" applyFont="1" applyFill="1"/>
    <xf numFmtId="0" fontId="81" fillId="0" borderId="1" xfId="106" applyBorder="1" applyAlignment="1">
      <alignment horizontal="center" vertical="center"/>
    </xf>
    <xf numFmtId="172" fontId="14" fillId="0" borderId="1" xfId="0" applyNumberFormat="1" applyFont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4" fontId="22" fillId="0" borderId="0" xfId="3" applyNumberFormat="1" applyFont="1" applyAlignment="1">
      <alignment horizontal="left" vertical="center" wrapText="1"/>
    </xf>
    <xf numFmtId="0" fontId="14" fillId="0" borderId="0" xfId="3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8" applyFont="1" applyAlignment="1">
      <alignment horizontal="center" vertical="center"/>
    </xf>
    <xf numFmtId="4" fontId="22" fillId="0" borderId="0" xfId="8" applyNumberFormat="1" applyFont="1" applyAlignment="1">
      <alignment horizontal="center" vertical="center"/>
    </xf>
    <xf numFmtId="4" fontId="22" fillId="0" borderId="0" xfId="8" applyNumberFormat="1" applyFont="1" applyAlignment="1">
      <alignment horizontal="right" vertical="center"/>
    </xf>
    <xf numFmtId="1" fontId="22" fillId="47" borderId="35" xfId="0" applyNumberFormat="1" applyFont="1" applyFill="1" applyBorder="1" applyAlignment="1">
      <alignment horizontal="center" vertical="center"/>
    </xf>
    <xf numFmtId="0" fontId="22" fillId="58" borderId="23" xfId="0" applyFont="1" applyFill="1" applyBorder="1" applyAlignment="1">
      <alignment horizontal="center" vertical="center" wrapText="1"/>
    </xf>
    <xf numFmtId="0" fontId="22" fillId="58" borderId="102" xfId="0" applyFont="1" applyFill="1" applyBorder="1" applyAlignment="1">
      <alignment horizontal="center" vertical="center" wrapText="1"/>
    </xf>
    <xf numFmtId="2" fontId="22" fillId="58" borderId="102" xfId="0" applyNumberFormat="1" applyFont="1" applyFill="1" applyBorder="1" applyAlignment="1">
      <alignment horizontal="center" vertical="center" wrapText="1"/>
    </xf>
    <xf numFmtId="4" fontId="22" fillId="58" borderId="102" xfId="0" applyNumberFormat="1" applyFont="1" applyFill="1" applyBorder="1" applyAlignment="1">
      <alignment horizontal="center" vertical="center" wrapText="1"/>
    </xf>
    <xf numFmtId="1" fontId="22" fillId="47" borderId="1" xfId="0" applyNumberFormat="1" applyFont="1" applyFill="1" applyBorder="1" applyAlignment="1">
      <alignment horizontal="center" vertical="center"/>
    </xf>
    <xf numFmtId="0" fontId="22" fillId="58" borderId="1" xfId="0" applyFont="1" applyFill="1" applyBorder="1" applyAlignment="1">
      <alignment horizontal="center" vertical="center" wrapText="1"/>
    </xf>
    <xf numFmtId="4" fontId="22" fillId="58" borderId="1" xfId="0" applyNumberFormat="1" applyFont="1" applyFill="1" applyBorder="1" applyAlignment="1">
      <alignment horizontal="center" vertical="center" wrapText="1"/>
    </xf>
    <xf numFmtId="1" fontId="14" fillId="6" borderId="1" xfId="0" quotePrefix="1" applyNumberFormat="1" applyFont="1" applyFill="1" applyBorder="1" applyAlignment="1">
      <alignment horizontal="center" vertical="center"/>
    </xf>
    <xf numFmtId="43" fontId="14" fillId="6" borderId="1" xfId="1" applyFont="1" applyFill="1" applyBorder="1" applyAlignment="1">
      <alignment horizontal="justify" vertical="center"/>
    </xf>
    <xf numFmtId="0" fontId="22" fillId="8" borderId="1" xfId="0" applyFont="1" applyFill="1" applyBorder="1" applyAlignment="1">
      <alignment horizontal="center" vertical="center"/>
    </xf>
    <xf numFmtId="10" fontId="22" fillId="8" borderId="1" xfId="6" applyNumberFormat="1" applyFont="1" applyFill="1" applyBorder="1" applyAlignment="1">
      <alignment horizontal="center" vertical="center"/>
    </xf>
    <xf numFmtId="4" fontId="22" fillId="8" borderId="1" xfId="6" applyNumberFormat="1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6" fontId="14" fillId="0" borderId="0" xfId="6" applyNumberFormat="1" applyFont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2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 wrapText="1"/>
    </xf>
    <xf numFmtId="0" fontId="22" fillId="47" borderId="1" xfId="0" applyFont="1" applyFill="1" applyBorder="1" applyAlignment="1">
      <alignment vertical="center"/>
    </xf>
    <xf numFmtId="0" fontId="22" fillId="47" borderId="2" xfId="0" applyFont="1" applyFill="1" applyBorder="1" applyAlignment="1">
      <alignment vertical="center"/>
    </xf>
    <xf numFmtId="4" fontId="22" fillId="58" borderId="2" xfId="0" applyNumberFormat="1" applyFont="1" applyFill="1" applyBorder="1" applyAlignment="1">
      <alignment horizontal="center" vertical="center" wrapText="1"/>
    </xf>
    <xf numFmtId="43" fontId="14" fillId="6" borderId="2" xfId="1" applyFont="1" applyFill="1" applyBorder="1" applyAlignment="1">
      <alignment horizontal="justify" vertical="center"/>
    </xf>
    <xf numFmtId="4" fontId="22" fillId="0" borderId="0" xfId="0" applyNumberFormat="1" applyFont="1" applyAlignment="1">
      <alignment horizontal="center" vertical="center" wrapText="1"/>
    </xf>
    <xf numFmtId="43" fontId="14" fillId="0" borderId="0" xfId="1" applyFont="1" applyFill="1" applyBorder="1" applyAlignment="1">
      <alignment horizontal="justify" vertical="center"/>
    </xf>
    <xf numFmtId="0" fontId="22" fillId="47" borderId="1" xfId="0" applyFont="1" applyFill="1" applyBorder="1" applyAlignment="1">
      <alignment horizontal="center" vertical="center"/>
    </xf>
    <xf numFmtId="4" fontId="22" fillId="8" borderId="1" xfId="0" applyNumberFormat="1" applyFont="1" applyFill="1" applyBorder="1" applyAlignment="1">
      <alignment horizontal="center" vertical="center"/>
    </xf>
    <xf numFmtId="4" fontId="22" fillId="8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0" fontId="9" fillId="6" borderId="0" xfId="0" applyFont="1" applyFill="1" applyAlignment="1">
      <alignment horizontal="justify" vertical="center"/>
    </xf>
    <xf numFmtId="10" fontId="22" fillId="47" borderId="1" xfId="1" applyNumberFormat="1" applyFont="1" applyFill="1" applyBorder="1" applyAlignment="1">
      <alignment horizontal="center" vertical="center"/>
    </xf>
    <xf numFmtId="43" fontId="22" fillId="47" borderId="1" xfId="1" applyFont="1" applyFill="1" applyBorder="1" applyAlignment="1">
      <alignment horizontal="center" vertical="center"/>
    </xf>
    <xf numFmtId="0" fontId="2" fillId="0" borderId="22" xfId="2" applyFont="1" applyBorder="1" applyAlignment="1">
      <alignment horizontal="center" vertical="center" wrapText="1"/>
    </xf>
    <xf numFmtId="10" fontId="22" fillId="0" borderId="0" xfId="6" applyNumberFormat="1" applyFont="1" applyFill="1" applyBorder="1" applyAlignment="1">
      <alignment horizontal="right" vertical="center"/>
    </xf>
    <xf numFmtId="0" fontId="9" fillId="6" borderId="0" xfId="0" applyFont="1" applyFill="1" applyAlignment="1">
      <alignment vertical="center" wrapText="1"/>
    </xf>
    <xf numFmtId="43" fontId="22" fillId="58" borderId="1" xfId="1" applyFont="1" applyFill="1" applyBorder="1" applyAlignment="1">
      <alignment horizontal="center" vertical="center"/>
    </xf>
    <xf numFmtId="10" fontId="22" fillId="58" borderId="1" xfId="1" applyNumberFormat="1" applyFont="1" applyFill="1" applyBorder="1" applyAlignment="1">
      <alignment horizontal="center" vertical="center"/>
    </xf>
    <xf numFmtId="43" fontId="1" fillId="58" borderId="1" xfId="1" applyFont="1" applyFill="1" applyBorder="1" applyAlignment="1">
      <alignment horizontal="center" vertical="center"/>
    </xf>
    <xf numFmtId="10" fontId="1" fillId="58" borderId="1" xfId="1" applyNumberFormat="1" applyFont="1" applyFill="1" applyBorder="1" applyAlignment="1">
      <alignment horizontal="center" vertical="center"/>
    </xf>
    <xf numFmtId="4" fontId="22" fillId="0" borderId="2" xfId="0" applyNumberFormat="1" applyFont="1" applyBorder="1" applyAlignment="1">
      <alignment horizontal="right" vertical="center"/>
    </xf>
    <xf numFmtId="0" fontId="9" fillId="6" borderId="0" xfId="0" applyFont="1" applyFill="1" applyAlignment="1">
      <alignment horizontal="justify" vertical="center" wrapText="1"/>
    </xf>
    <xf numFmtId="43" fontId="0" fillId="0" borderId="0" xfId="107" applyFont="1"/>
    <xf numFmtId="43" fontId="0" fillId="0" borderId="0" xfId="107" applyFont="1" applyFill="1" applyBorder="1"/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/>
    </xf>
    <xf numFmtId="43" fontId="2" fillId="0" borderId="1" xfId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right" vertical="center"/>
    </xf>
    <xf numFmtId="4" fontId="22" fillId="8" borderId="1" xfId="0" applyNumberFormat="1" applyFont="1" applyFill="1" applyBorder="1" applyAlignment="1">
      <alignment horizontal="right" vertical="center"/>
    </xf>
    <xf numFmtId="173" fontId="14" fillId="9" borderId="3" xfId="13" applyNumberFormat="1" applyFont="1" applyFill="1" applyBorder="1" applyAlignment="1">
      <alignment horizontal="center" vertical="center" wrapText="1"/>
    </xf>
    <xf numFmtId="172" fontId="14" fillId="0" borderId="1" xfId="26" applyNumberFormat="1" applyFont="1" applyBorder="1" applyAlignment="1">
      <alignment horizontal="center" vertical="center"/>
    </xf>
    <xf numFmtId="0" fontId="21" fillId="11" borderId="1" xfId="13" applyFont="1" applyFill="1" applyBorder="1" applyAlignment="1">
      <alignment horizontal="center" vertical="center" wrapText="1"/>
    </xf>
    <xf numFmtId="0" fontId="21" fillId="11" borderId="1" xfId="13" applyFont="1" applyFill="1" applyBorder="1" applyAlignment="1">
      <alignment horizontal="left" vertical="center" wrapText="1"/>
    </xf>
    <xf numFmtId="2" fontId="22" fillId="58" borderId="1" xfId="0" applyNumberFormat="1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/>
    </xf>
    <xf numFmtId="43" fontId="1" fillId="8" borderId="1" xfId="1" applyFont="1" applyFill="1" applyBorder="1" applyAlignment="1">
      <alignment horizontal="center" vertical="center"/>
    </xf>
    <xf numFmtId="168" fontId="22" fillId="0" borderId="0" xfId="0" applyNumberFormat="1" applyFont="1" applyAlignment="1">
      <alignment horizontal="right" vertical="center"/>
    </xf>
    <xf numFmtId="0" fontId="22" fillId="0" borderId="3" xfId="0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22" fillId="0" borderId="102" xfId="0" applyFont="1" applyBorder="1" applyAlignment="1">
      <alignment horizontal="center" vertical="center" wrapText="1"/>
    </xf>
    <xf numFmtId="4" fontId="22" fillId="0" borderId="102" xfId="0" applyNumberFormat="1" applyFont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 wrapText="1"/>
    </xf>
    <xf numFmtId="43" fontId="22" fillId="8" borderId="1" xfId="1" applyFont="1" applyFill="1" applyBorder="1" applyAlignment="1">
      <alignment horizontal="right" vertical="center"/>
    </xf>
    <xf numFmtId="43" fontId="22" fillId="44" borderId="1" xfId="1" applyFont="1" applyFill="1" applyBorder="1" applyAlignment="1">
      <alignment horizontal="center" vertical="center"/>
    </xf>
    <xf numFmtId="171" fontId="22" fillId="0" borderId="0" xfId="0" applyNumberFormat="1" applyFont="1" applyAlignment="1">
      <alignment horizontal="right" vertical="center"/>
    </xf>
    <xf numFmtId="0" fontId="0" fillId="15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 applyAlignment="1">
      <alignment horizontal="center" vertical="center"/>
    </xf>
    <xf numFmtId="43" fontId="58" fillId="15" borderId="1" xfId="1" applyFont="1" applyFill="1" applyBorder="1" applyAlignment="1">
      <alignment horizontal="center" vertical="center"/>
    </xf>
    <xf numFmtId="43" fontId="0" fillId="15" borderId="1" xfId="1" applyFont="1" applyFill="1" applyBorder="1" applyAlignment="1">
      <alignment horizontal="center" vertical="center"/>
    </xf>
    <xf numFmtId="0" fontId="54" fillId="15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vertical="center" wrapText="1"/>
    </xf>
    <xf numFmtId="0" fontId="0" fillId="17" borderId="1" xfId="0" applyFill="1" applyBorder="1" applyAlignment="1">
      <alignment horizontal="center" vertical="center"/>
    </xf>
    <xf numFmtId="43" fontId="58" fillId="17" borderId="1" xfId="1" applyFont="1" applyFill="1" applyBorder="1" applyAlignment="1">
      <alignment horizontal="center" vertical="center"/>
    </xf>
    <xf numFmtId="43" fontId="0" fillId="17" borderId="1" xfId="1" applyFont="1" applyFill="1" applyBorder="1" applyAlignment="1">
      <alignment horizontal="center" vertical="center"/>
    </xf>
    <xf numFmtId="0" fontId="0" fillId="17" borderId="1" xfId="0" applyFill="1" applyBorder="1" applyAlignment="1">
      <alignment horizontal="left" vertical="center" wrapText="1"/>
    </xf>
    <xf numFmtId="43" fontId="58" fillId="17" borderId="1" xfId="1" quotePrefix="1" applyFont="1" applyFill="1" applyBorder="1" applyAlignment="1">
      <alignment horizontal="center" vertical="center"/>
    </xf>
    <xf numFmtId="43" fontId="0" fillId="55" borderId="1" xfId="0" applyNumberFormat="1" applyFill="1" applyBorder="1" applyAlignment="1">
      <alignment vertical="center"/>
    </xf>
    <xf numFmtId="43" fontId="54" fillId="55" borderId="1" xfId="0" applyNumberFormat="1" applyFont="1" applyFill="1" applyBorder="1" applyAlignment="1">
      <alignment vertical="center"/>
    </xf>
    <xf numFmtId="0" fontId="0" fillId="15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0" borderId="2" xfId="0" applyBorder="1"/>
    <xf numFmtId="43" fontId="16" fillId="0" borderId="0" xfId="1" applyFont="1" applyBorder="1" applyAlignment="1">
      <alignment wrapText="1"/>
    </xf>
    <xf numFmtId="0" fontId="83" fillId="0" borderId="0" xfId="0" applyFont="1"/>
    <xf numFmtId="0" fontId="84" fillId="0" borderId="0" xfId="0" applyFont="1"/>
    <xf numFmtId="0" fontId="20" fillId="63" borderId="1" xfId="13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/>
    </xf>
    <xf numFmtId="0" fontId="54" fillId="15" borderId="3" xfId="0" applyFont="1" applyFill="1" applyBorder="1" applyAlignment="1">
      <alignment horizontal="center" vertical="center" wrapText="1"/>
    </xf>
    <xf numFmtId="0" fontId="54" fillId="15" borderId="5" xfId="0" applyFont="1" applyFill="1" applyBorder="1" applyAlignment="1">
      <alignment horizontal="center" vertical="center" wrapText="1"/>
    </xf>
    <xf numFmtId="0" fontId="54" fillId="15" borderId="102" xfId="0" applyFont="1" applyFill="1" applyBorder="1" applyAlignment="1">
      <alignment horizontal="center" vertical="center" wrapText="1"/>
    </xf>
    <xf numFmtId="0" fontId="54" fillId="17" borderId="3" xfId="0" applyFont="1" applyFill="1" applyBorder="1" applyAlignment="1">
      <alignment horizontal="center" vertical="center" wrapText="1"/>
    </xf>
    <xf numFmtId="0" fontId="54" fillId="17" borderId="5" xfId="0" applyFont="1" applyFill="1" applyBorder="1" applyAlignment="1">
      <alignment horizontal="center" vertical="center" wrapText="1"/>
    </xf>
    <xf numFmtId="0" fontId="54" fillId="17" borderId="102" xfId="0" applyFont="1" applyFill="1" applyBorder="1" applyAlignment="1">
      <alignment horizontal="center" vertical="center" wrapText="1"/>
    </xf>
    <xf numFmtId="0" fontId="78" fillId="0" borderId="1" xfId="0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78" fillId="0" borderId="1" xfId="0" applyNumberFormat="1" applyFont="1" applyBorder="1" applyAlignment="1">
      <alignment horizontal="center"/>
    </xf>
    <xf numFmtId="0" fontId="54" fillId="55" borderId="1" xfId="0" applyFont="1" applyFill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wrapText="1"/>
    </xf>
    <xf numFmtId="0" fontId="14" fillId="0" borderId="57" xfId="0" applyFont="1" applyBorder="1" applyAlignment="1">
      <alignment horizontal="left"/>
    </xf>
    <xf numFmtId="0" fontId="14" fillId="0" borderId="58" xfId="0" applyFont="1" applyBorder="1" applyAlignment="1">
      <alignment horizontal="left"/>
    </xf>
    <xf numFmtId="0" fontId="14" fillId="0" borderId="69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22" fillId="0" borderId="59" xfId="0" applyFont="1" applyBorder="1" applyAlignment="1">
      <alignment horizontal="right"/>
    </xf>
    <xf numFmtId="0" fontId="22" fillId="0" borderId="60" xfId="0" applyFont="1" applyBorder="1" applyAlignment="1">
      <alignment horizontal="right"/>
    </xf>
    <xf numFmtId="0" fontId="22" fillId="0" borderId="55" xfId="0" applyFont="1" applyBorder="1" applyAlignment="1">
      <alignment horizontal="right"/>
    </xf>
    <xf numFmtId="0" fontId="22" fillId="45" borderId="13" xfId="0" applyFont="1" applyFill="1" applyBorder="1" applyAlignment="1">
      <alignment horizontal="right" wrapText="1"/>
    </xf>
    <xf numFmtId="0" fontId="22" fillId="45" borderId="14" xfId="0" applyFont="1" applyFill="1" applyBorder="1" applyAlignment="1">
      <alignment horizontal="right" wrapText="1"/>
    </xf>
    <xf numFmtId="0" fontId="22" fillId="45" borderId="15" xfId="0" applyFont="1" applyFill="1" applyBorder="1" applyAlignment="1">
      <alignment horizontal="right" wrapText="1"/>
    </xf>
    <xf numFmtId="0" fontId="22" fillId="0" borderId="19" xfId="0" applyFont="1" applyBorder="1" applyAlignment="1">
      <alignment horizontal="right"/>
    </xf>
    <xf numFmtId="0" fontId="22" fillId="0" borderId="20" xfId="0" applyFont="1" applyBorder="1" applyAlignment="1">
      <alignment horizontal="right"/>
    </xf>
    <xf numFmtId="0" fontId="22" fillId="0" borderId="21" xfId="0" applyFont="1" applyBorder="1" applyAlignment="1">
      <alignment horizontal="right"/>
    </xf>
    <xf numFmtId="0" fontId="14" fillId="0" borderId="54" xfId="0" applyFont="1" applyBorder="1" applyAlignment="1">
      <alignment horizontal="left"/>
    </xf>
    <xf numFmtId="0" fontId="14" fillId="0" borderId="63" xfId="0" applyFont="1" applyBorder="1" applyAlignment="1">
      <alignment horizontal="left"/>
    </xf>
    <xf numFmtId="0" fontId="14" fillId="0" borderId="64" xfId="0" applyFont="1" applyBorder="1" applyAlignment="1">
      <alignment horizontal="left"/>
    </xf>
    <xf numFmtId="0" fontId="14" fillId="0" borderId="65" xfId="0" applyFont="1" applyBorder="1" applyAlignment="1">
      <alignment horizontal="left"/>
    </xf>
    <xf numFmtId="0" fontId="22" fillId="8" borderId="13" xfId="0" applyFont="1" applyFill="1" applyBorder="1" applyAlignment="1">
      <alignment horizontal="left" vertical="center" wrapText="1"/>
    </xf>
    <xf numFmtId="0" fontId="22" fillId="8" borderId="14" xfId="0" applyFont="1" applyFill="1" applyBorder="1" applyAlignment="1">
      <alignment horizontal="left" vertical="center" wrapText="1"/>
    </xf>
    <xf numFmtId="0" fontId="22" fillId="8" borderId="56" xfId="0" applyFont="1" applyFill="1" applyBorder="1" applyAlignment="1">
      <alignment horizontal="left" vertical="center" wrapText="1"/>
    </xf>
    <xf numFmtId="0" fontId="22" fillId="8" borderId="13" xfId="0" applyFont="1" applyFill="1" applyBorder="1" applyAlignment="1">
      <alignment horizontal="left"/>
    </xf>
    <xf numFmtId="0" fontId="22" fillId="8" borderId="14" xfId="0" applyFont="1" applyFill="1" applyBorder="1" applyAlignment="1">
      <alignment horizontal="left"/>
    </xf>
    <xf numFmtId="0" fontId="22" fillId="8" borderId="56" xfId="0" applyFont="1" applyFill="1" applyBorder="1" applyAlignment="1">
      <alignment horizontal="left"/>
    </xf>
    <xf numFmtId="0" fontId="14" fillId="0" borderId="68" xfId="0" applyFont="1" applyBorder="1" applyAlignment="1">
      <alignment horizontal="left"/>
    </xf>
    <xf numFmtId="0" fontId="22" fillId="47" borderId="13" xfId="0" applyFont="1" applyFill="1" applyBorder="1" applyAlignment="1">
      <alignment horizontal="right" vertical="center"/>
    </xf>
    <xf numFmtId="0" fontId="22" fillId="47" borderId="14" xfId="0" applyFont="1" applyFill="1" applyBorder="1" applyAlignment="1">
      <alignment horizontal="right" vertical="center"/>
    </xf>
    <xf numFmtId="0" fontId="22" fillId="47" borderId="15" xfId="0" applyFont="1" applyFill="1" applyBorder="1" applyAlignment="1">
      <alignment horizontal="right" vertical="center"/>
    </xf>
    <xf numFmtId="0" fontId="22" fillId="0" borderId="70" xfId="0" applyFont="1" applyBorder="1" applyAlignment="1">
      <alignment horizontal="right"/>
    </xf>
    <xf numFmtId="0" fontId="21" fillId="0" borderId="57" xfId="0" applyFont="1" applyBorder="1" applyAlignment="1">
      <alignment horizontal="left"/>
    </xf>
    <xf numFmtId="0" fontId="21" fillId="0" borderId="58" xfId="0" applyFont="1" applyBorder="1" applyAlignment="1">
      <alignment horizontal="left"/>
    </xf>
    <xf numFmtId="0" fontId="21" fillId="0" borderId="69" xfId="0" applyFont="1" applyBorder="1" applyAlignment="1">
      <alignment horizontal="left"/>
    </xf>
    <xf numFmtId="0" fontId="22" fillId="0" borderId="57" xfId="0" applyFont="1" applyBorder="1" applyAlignment="1">
      <alignment horizontal="right"/>
    </xf>
    <xf numFmtId="0" fontId="22" fillId="0" borderId="58" xfId="0" applyFont="1" applyBorder="1" applyAlignment="1">
      <alignment horizontal="right"/>
    </xf>
    <xf numFmtId="0" fontId="22" fillId="0" borderId="69" xfId="0" applyFont="1" applyBorder="1" applyAlignment="1">
      <alignment horizontal="right"/>
    </xf>
    <xf numFmtId="0" fontId="22" fillId="52" borderId="13" xfId="0" applyFont="1" applyFill="1" applyBorder="1" applyAlignment="1">
      <alignment horizontal="right" wrapText="1"/>
    </xf>
    <xf numFmtId="0" fontId="22" fillId="52" borderId="14" xfId="0" applyFont="1" applyFill="1" applyBorder="1" applyAlignment="1">
      <alignment horizontal="right" wrapText="1"/>
    </xf>
    <xf numFmtId="0" fontId="22" fillId="52" borderId="15" xfId="0" applyFont="1" applyFill="1" applyBorder="1" applyAlignment="1">
      <alignment horizontal="right" wrapText="1"/>
    </xf>
    <xf numFmtId="0" fontId="22" fillId="0" borderId="24" xfId="0" applyFont="1" applyBorder="1" applyAlignment="1">
      <alignment horizontal="left" vertical="center" wrapText="1"/>
    </xf>
    <xf numFmtId="0" fontId="22" fillId="0" borderId="106" xfId="0" applyFont="1" applyBorder="1" applyAlignment="1">
      <alignment horizontal="left" vertical="center" wrapText="1"/>
    </xf>
    <xf numFmtId="0" fontId="22" fillId="48" borderId="13" xfId="0" applyFont="1" applyFill="1" applyBorder="1" applyAlignment="1">
      <alignment horizontal="left"/>
    </xf>
    <xf numFmtId="0" fontId="22" fillId="48" borderId="14" xfId="0" applyFont="1" applyFill="1" applyBorder="1" applyAlignment="1">
      <alignment horizontal="left"/>
    </xf>
    <xf numFmtId="0" fontId="22" fillId="48" borderId="15" xfId="0" applyFont="1" applyFill="1" applyBorder="1" applyAlignment="1">
      <alignment horizontal="left"/>
    </xf>
    <xf numFmtId="0" fontId="20" fillId="0" borderId="78" xfId="0" applyFont="1" applyBorder="1" applyAlignment="1">
      <alignment horizontal="right" wrapText="1"/>
    </xf>
    <xf numFmtId="0" fontId="20" fillId="0" borderId="79" xfId="0" applyFont="1" applyBorder="1" applyAlignment="1">
      <alignment horizontal="right" wrapText="1"/>
    </xf>
    <xf numFmtId="0" fontId="20" fillId="0" borderId="80" xfId="0" applyFont="1" applyBorder="1" applyAlignment="1">
      <alignment horizontal="right" wrapText="1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22" fillId="50" borderId="32" xfId="0" applyFont="1" applyFill="1" applyBorder="1" applyAlignment="1">
      <alignment horizontal="left"/>
    </xf>
    <xf numFmtId="0" fontId="22" fillId="50" borderId="33" xfId="0" applyFont="1" applyFill="1" applyBorder="1" applyAlignment="1">
      <alignment horizontal="left"/>
    </xf>
    <xf numFmtId="0" fontId="22" fillId="50" borderId="92" xfId="0" applyFont="1" applyFill="1" applyBorder="1" applyAlignment="1">
      <alignment horizontal="left"/>
    </xf>
    <xf numFmtId="0" fontId="22" fillId="45" borderId="13" xfId="0" applyFont="1" applyFill="1" applyBorder="1" applyAlignment="1">
      <alignment horizontal="left"/>
    </xf>
    <xf numFmtId="0" fontId="22" fillId="45" borderId="14" xfId="0" applyFont="1" applyFill="1" applyBorder="1" applyAlignment="1">
      <alignment horizontal="left"/>
    </xf>
    <xf numFmtId="0" fontId="22" fillId="0" borderId="1" xfId="0" applyFont="1" applyBorder="1" applyAlignment="1">
      <alignment horizontal="center" wrapText="1"/>
    </xf>
    <xf numFmtId="0" fontId="57" fillId="16" borderId="32" xfId="0" applyFont="1" applyFill="1" applyBorder="1" applyAlignment="1">
      <alignment horizontal="center"/>
    </xf>
    <xf numFmtId="0" fontId="57" fillId="16" borderId="33" xfId="0" applyFont="1" applyFill="1" applyBorder="1" applyAlignment="1">
      <alignment horizontal="center"/>
    </xf>
    <xf numFmtId="0" fontId="57" fillId="16" borderId="34" xfId="0" applyFont="1" applyFill="1" applyBorder="1" applyAlignment="1">
      <alignment horizontal="center"/>
    </xf>
    <xf numFmtId="0" fontId="56" fillId="16" borderId="19" xfId="0" applyFont="1" applyFill="1" applyBorder="1" applyAlignment="1">
      <alignment horizontal="center" vertical="center"/>
    </xf>
    <xf numFmtId="0" fontId="56" fillId="16" borderId="20" xfId="0" applyFont="1" applyFill="1" applyBorder="1" applyAlignment="1">
      <alignment horizontal="center" vertical="center"/>
    </xf>
    <xf numFmtId="0" fontId="56" fillId="16" borderId="21" xfId="0" applyFont="1" applyFill="1" applyBorder="1" applyAlignment="1">
      <alignment horizontal="center" vertical="center"/>
    </xf>
    <xf numFmtId="0" fontId="22" fillId="17" borderId="19" xfId="0" applyFont="1" applyFill="1" applyBorder="1" applyAlignment="1">
      <alignment horizontal="left"/>
    </xf>
    <xf numFmtId="0" fontId="22" fillId="17" borderId="20" xfId="0" applyFont="1" applyFill="1" applyBorder="1" applyAlignment="1">
      <alignment horizontal="left"/>
    </xf>
    <xf numFmtId="0" fontId="22" fillId="17" borderId="2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08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/>
    </xf>
    <xf numFmtId="0" fontId="14" fillId="0" borderId="97" xfId="0" applyFont="1" applyBorder="1" applyAlignment="1">
      <alignment horizontal="left"/>
    </xf>
    <xf numFmtId="0" fontId="22" fillId="52" borderId="13" xfId="0" applyFont="1" applyFill="1" applyBorder="1" applyAlignment="1">
      <alignment horizontal="left"/>
    </xf>
    <xf numFmtId="0" fontId="22" fillId="52" borderId="14" xfId="0" applyFont="1" applyFill="1" applyBorder="1" applyAlignment="1">
      <alignment horizontal="left"/>
    </xf>
    <xf numFmtId="0" fontId="22" fillId="52" borderId="15" xfId="0" applyFont="1" applyFill="1" applyBorder="1" applyAlignment="1">
      <alignment horizontal="left"/>
    </xf>
    <xf numFmtId="0" fontId="22" fillId="51" borderId="26" xfId="0" applyFont="1" applyFill="1" applyBorder="1" applyAlignment="1">
      <alignment horizontal="left"/>
    </xf>
    <xf numFmtId="0" fontId="22" fillId="14" borderId="32" xfId="0" applyFont="1" applyFill="1" applyBorder="1" applyAlignment="1">
      <alignment horizontal="center" vertical="center"/>
    </xf>
    <xf numFmtId="0" fontId="22" fillId="14" borderId="33" xfId="0" applyFont="1" applyFill="1" applyBorder="1" applyAlignment="1">
      <alignment horizontal="center" vertical="center"/>
    </xf>
    <xf numFmtId="0" fontId="22" fillId="14" borderId="34" xfId="0" applyFont="1" applyFill="1" applyBorder="1" applyAlignment="1">
      <alignment horizontal="center" vertical="center"/>
    </xf>
    <xf numFmtId="0" fontId="22" fillId="42" borderId="13" xfId="0" applyFont="1" applyFill="1" applyBorder="1" applyAlignment="1">
      <alignment horizontal="center" wrapText="1"/>
    </xf>
    <xf numFmtId="0" fontId="22" fillId="42" borderId="14" xfId="0" applyFont="1" applyFill="1" applyBorder="1" applyAlignment="1">
      <alignment horizontal="center" wrapText="1"/>
    </xf>
    <xf numFmtId="0" fontId="22" fillId="42" borderId="15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left"/>
    </xf>
    <xf numFmtId="0" fontId="22" fillId="14" borderId="19" xfId="0" applyFont="1" applyFill="1" applyBorder="1" applyAlignment="1">
      <alignment horizontal="right" vertical="center"/>
    </xf>
    <xf numFmtId="0" fontId="22" fillId="14" borderId="20" xfId="0" applyFont="1" applyFill="1" applyBorder="1" applyAlignment="1">
      <alignment horizontal="right" vertical="center"/>
    </xf>
    <xf numFmtId="0" fontId="22" fillId="14" borderId="21" xfId="0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horizontal="center" vertical="center"/>
    </xf>
    <xf numFmtId="0" fontId="22" fillId="49" borderId="23" xfId="0" applyFont="1" applyFill="1" applyBorder="1" applyAlignment="1">
      <alignment horizontal="center" vertical="center"/>
    </xf>
    <xf numFmtId="0" fontId="22" fillId="49" borderId="24" xfId="0" applyFont="1" applyFill="1" applyBorder="1" applyAlignment="1">
      <alignment horizontal="center" vertical="center"/>
    </xf>
    <xf numFmtId="0" fontId="22" fillId="49" borderId="25" xfId="0" applyFont="1" applyFill="1" applyBorder="1" applyAlignment="1">
      <alignment horizontal="center" vertical="center"/>
    </xf>
    <xf numFmtId="0" fontId="21" fillId="0" borderId="76" xfId="0" applyFont="1" applyBorder="1" applyAlignment="1">
      <alignment horizontal="left"/>
    </xf>
    <xf numFmtId="0" fontId="21" fillId="0" borderId="77" xfId="0" applyFont="1" applyBorder="1" applyAlignment="1">
      <alignment horizontal="left"/>
    </xf>
    <xf numFmtId="0" fontId="21" fillId="0" borderId="71" xfId="0" applyFont="1" applyBorder="1" applyAlignment="1">
      <alignment horizontal="left"/>
    </xf>
    <xf numFmtId="0" fontId="62" fillId="8" borderId="2" xfId="5" applyFont="1" applyFill="1" applyBorder="1" applyAlignment="1">
      <alignment horizontal="center" vertical="center" wrapText="1"/>
    </xf>
    <xf numFmtId="0" fontId="62" fillId="8" borderId="11" xfId="5" applyFont="1" applyFill="1" applyBorder="1" applyAlignment="1">
      <alignment horizontal="center" vertical="center" wrapText="1"/>
    </xf>
    <xf numFmtId="0" fontId="62" fillId="8" borderId="7" xfId="5" applyFont="1" applyFill="1" applyBorder="1" applyAlignment="1">
      <alignment horizontal="center" vertical="center" wrapText="1"/>
    </xf>
    <xf numFmtId="0" fontId="60" fillId="0" borderId="2" xfId="5" applyFont="1" applyBorder="1" applyAlignment="1">
      <alignment horizontal="left" vertical="center" wrapText="1"/>
    </xf>
    <xf numFmtId="0" fontId="60" fillId="0" borderId="11" xfId="5" applyFont="1" applyBorder="1" applyAlignment="1">
      <alignment horizontal="left" vertical="center" wrapText="1"/>
    </xf>
    <xf numFmtId="0" fontId="60" fillId="0" borderId="7" xfId="5" applyFont="1" applyBorder="1" applyAlignment="1">
      <alignment horizontal="left" vertical="center" wrapText="1"/>
    </xf>
    <xf numFmtId="0" fontId="61" fillId="14" borderId="2" xfId="0" applyFont="1" applyFill="1" applyBorder="1" applyAlignment="1">
      <alignment horizontal="center" vertical="center" wrapText="1"/>
    </xf>
    <xf numFmtId="0" fontId="61" fillId="14" borderId="11" xfId="0" applyFont="1" applyFill="1" applyBorder="1" applyAlignment="1">
      <alignment horizontal="center" vertical="center" wrapText="1"/>
    </xf>
    <xf numFmtId="0" fontId="61" fillId="14" borderId="7" xfId="0" applyFont="1" applyFill="1" applyBorder="1" applyAlignment="1">
      <alignment horizontal="center" vertical="center" wrapText="1"/>
    </xf>
    <xf numFmtId="0" fontId="63" fillId="57" borderId="30" xfId="0" applyFont="1" applyFill="1" applyBorder="1" applyAlignment="1">
      <alignment horizontal="left" vertical="center" wrapText="1"/>
    </xf>
    <xf numFmtId="0" fontId="63" fillId="57" borderId="10" xfId="0" applyFont="1" applyFill="1" applyBorder="1" applyAlignment="1">
      <alignment horizontal="left" vertical="center" wrapText="1"/>
    </xf>
    <xf numFmtId="0" fontId="63" fillId="57" borderId="12" xfId="0" applyFont="1" applyFill="1" applyBorder="1" applyAlignment="1">
      <alignment horizontal="left" vertical="center" wrapText="1"/>
    </xf>
    <xf numFmtId="0" fontId="60" fillId="0" borderId="1" xfId="5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0" fillId="0" borderId="30" xfId="5" applyFont="1" applyBorder="1" applyAlignment="1">
      <alignment horizontal="left" vertical="center" wrapText="1"/>
    </xf>
    <xf numFmtId="0" fontId="60" fillId="0" borderId="10" xfId="5" applyFont="1" applyBorder="1" applyAlignment="1">
      <alignment horizontal="left" vertical="center" wrapText="1"/>
    </xf>
    <xf numFmtId="0" fontId="60" fillId="0" borderId="12" xfId="5" applyFont="1" applyBorder="1" applyAlignment="1">
      <alignment horizontal="left" vertical="center" wrapText="1"/>
    </xf>
    <xf numFmtId="0" fontId="62" fillId="0" borderId="6" xfId="5" applyFont="1" applyBorder="1" applyAlignment="1">
      <alignment horizontal="center" vertical="center" wrapText="1"/>
    </xf>
    <xf numFmtId="0" fontId="62" fillId="0" borderId="8" xfId="5" applyFont="1" applyBorder="1" applyAlignment="1">
      <alignment horizontal="center" vertical="center" wrapText="1"/>
    </xf>
    <xf numFmtId="0" fontId="60" fillId="6" borderId="2" xfId="5" applyFont="1" applyFill="1" applyBorder="1" applyAlignment="1">
      <alignment horizontal="left" vertical="center" wrapText="1"/>
    </xf>
    <xf numFmtId="0" fontId="60" fillId="6" borderId="7" xfId="5" applyFont="1" applyFill="1" applyBorder="1" applyAlignment="1">
      <alignment horizontal="left" vertical="center" wrapText="1"/>
    </xf>
    <xf numFmtId="0" fontId="60" fillId="0" borderId="0" xfId="5" applyFont="1" applyAlignment="1">
      <alignment horizontal="left" vertical="center" wrapText="1"/>
    </xf>
    <xf numFmtId="0" fontId="60" fillId="0" borderId="31" xfId="5" applyFont="1" applyBorder="1" applyAlignment="1">
      <alignment horizontal="justify" vertical="center" wrapText="1"/>
    </xf>
    <xf numFmtId="0" fontId="60" fillId="0" borderId="0" xfId="5" applyFont="1" applyAlignment="1">
      <alignment horizontal="justify" vertical="center" wrapText="1"/>
    </xf>
    <xf numFmtId="0" fontId="60" fillId="0" borderId="29" xfId="5" applyFont="1" applyBorder="1" applyAlignment="1">
      <alignment horizontal="justify" vertical="center" wrapText="1"/>
    </xf>
    <xf numFmtId="0" fontId="62" fillId="0" borderId="31" xfId="5" applyFont="1" applyBorder="1" applyAlignment="1">
      <alignment horizontal="justify" vertical="center" wrapText="1"/>
    </xf>
    <xf numFmtId="0" fontId="62" fillId="0" borderId="0" xfId="5" applyFont="1" applyAlignment="1">
      <alignment horizontal="justify" vertical="center" wrapText="1"/>
    </xf>
    <xf numFmtId="0" fontId="62" fillId="0" borderId="29" xfId="5" applyFont="1" applyBorder="1" applyAlignment="1">
      <alignment horizontal="justify" vertical="center" wrapText="1"/>
    </xf>
    <xf numFmtId="0" fontId="62" fillId="43" borderId="2" xfId="0" applyFont="1" applyFill="1" applyBorder="1" applyAlignment="1">
      <alignment horizontal="left" vertical="center" wrapText="1"/>
    </xf>
    <xf numFmtId="0" fontId="62" fillId="43" borderId="11" xfId="0" applyFont="1" applyFill="1" applyBorder="1" applyAlignment="1">
      <alignment horizontal="left" vertical="center" wrapText="1"/>
    </xf>
    <xf numFmtId="0" fontId="62" fillId="43" borderId="7" xfId="0" applyFont="1" applyFill="1" applyBorder="1" applyAlignment="1">
      <alignment horizontal="left" vertical="center" wrapText="1"/>
    </xf>
    <xf numFmtId="0" fontId="64" fillId="0" borderId="1" xfId="0" applyFont="1" applyBorder="1" applyAlignment="1">
      <alignment horizontal="left" vertical="center" wrapText="1"/>
    </xf>
    <xf numFmtId="0" fontId="61" fillId="14" borderId="1" xfId="5" applyFont="1" applyFill="1" applyBorder="1" applyAlignment="1">
      <alignment horizontal="center" vertical="center" wrapText="1"/>
    </xf>
    <xf numFmtId="0" fontId="61" fillId="14" borderId="2" xfId="5" applyFont="1" applyFill="1" applyBorder="1" applyAlignment="1">
      <alignment horizontal="center" vertical="center" wrapText="1"/>
    </xf>
    <xf numFmtId="0" fontId="61" fillId="14" borderId="11" xfId="5" applyFont="1" applyFill="1" applyBorder="1" applyAlignment="1">
      <alignment horizontal="center" vertical="center" wrapText="1"/>
    </xf>
    <xf numFmtId="0" fontId="61" fillId="14" borderId="7" xfId="5" applyFont="1" applyFill="1" applyBorder="1" applyAlignment="1">
      <alignment horizontal="center" vertical="center" wrapText="1"/>
    </xf>
    <xf numFmtId="0" fontId="62" fillId="8" borderId="1" xfId="5" applyFont="1" applyFill="1" applyBorder="1" applyAlignment="1">
      <alignment horizontal="center" vertical="center" wrapText="1"/>
    </xf>
    <xf numFmtId="10" fontId="60" fillId="0" borderId="3" xfId="33" applyNumberFormat="1" applyFont="1" applyFill="1" applyBorder="1" applyAlignment="1">
      <alignment horizontal="center" vertical="center" wrapText="1"/>
    </xf>
    <xf numFmtId="10" fontId="60" fillId="0" borderId="4" xfId="3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9" fillId="0" borderId="0" xfId="5" applyFont="1" applyAlignment="1">
      <alignment horizontal="center" vertical="center" wrapText="1"/>
    </xf>
    <xf numFmtId="0" fontId="62" fillId="0" borderId="3" xfId="5" applyFont="1" applyBorder="1" applyAlignment="1">
      <alignment horizontal="center" vertical="center" wrapText="1"/>
    </xf>
    <xf numFmtId="0" fontId="62" fillId="0" borderId="4" xfId="5" applyFont="1" applyBorder="1" applyAlignment="1">
      <alignment horizontal="center" vertical="center" wrapText="1"/>
    </xf>
    <xf numFmtId="0" fontId="60" fillId="0" borderId="30" xfId="5" applyFont="1" applyBorder="1" applyAlignment="1">
      <alignment horizontal="center" vertical="center" wrapText="1"/>
    </xf>
    <xf numFmtId="0" fontId="60" fillId="0" borderId="12" xfId="5" applyFont="1" applyBorder="1" applyAlignment="1">
      <alignment horizontal="center" vertical="center" wrapText="1"/>
    </xf>
    <xf numFmtId="0" fontId="60" fillId="0" borderId="6" xfId="5" applyFont="1" applyBorder="1" applyAlignment="1">
      <alignment horizontal="center" vertical="center" wrapText="1"/>
    </xf>
    <xf numFmtId="0" fontId="60" fillId="0" borderId="9" xfId="5" applyFont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0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0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/>
    </xf>
    <xf numFmtId="0" fontId="75" fillId="0" borderId="11" xfId="0" applyFont="1" applyBorder="1" applyAlignment="1">
      <alignment horizontal="center" vertical="center"/>
    </xf>
    <xf numFmtId="0" fontId="7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9" fillId="13" borderId="2" xfId="0" applyFont="1" applyFill="1" applyBorder="1" applyAlignment="1">
      <alignment horizontal="center" vertical="center"/>
    </xf>
    <xf numFmtId="0" fontId="79" fillId="13" borderId="11" xfId="0" applyFont="1" applyFill="1" applyBorder="1" applyAlignment="1">
      <alignment horizontal="center" vertical="center"/>
    </xf>
    <xf numFmtId="0" fontId="79" fillId="1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6" borderId="0" xfId="3" applyFont="1" applyFill="1" applyAlignment="1">
      <alignment horizontal="left" vertical="center" wrapText="1"/>
    </xf>
    <xf numFmtId="0" fontId="22" fillId="6" borderId="0" xfId="3" applyFont="1" applyFill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/>
    </xf>
    <xf numFmtId="0" fontId="22" fillId="6" borderId="33" xfId="0" applyFont="1" applyFill="1" applyBorder="1" applyAlignment="1">
      <alignment horizontal="center" vertical="center"/>
    </xf>
    <xf numFmtId="0" fontId="22" fillId="47" borderId="1" xfId="0" applyFont="1" applyFill="1" applyBorder="1" applyAlignment="1">
      <alignment horizontal="left" vertical="center"/>
    </xf>
    <xf numFmtId="0" fontId="22" fillId="47" borderId="2" xfId="0" applyFont="1" applyFill="1" applyBorder="1" applyAlignment="1">
      <alignment horizontal="left" vertical="center"/>
    </xf>
    <xf numFmtId="4" fontId="22" fillId="8" borderId="1" xfId="0" applyNumberFormat="1" applyFont="1" applyFill="1" applyBorder="1" applyAlignment="1">
      <alignment horizontal="right" vertical="center"/>
    </xf>
    <xf numFmtId="0" fontId="23" fillId="62" borderId="28" xfId="8" applyFont="1" applyFill="1" applyBorder="1" applyAlignment="1">
      <alignment horizontal="center" vertical="center" wrapText="1"/>
    </xf>
    <xf numFmtId="0" fontId="23" fillId="62" borderId="0" xfId="8" applyFont="1" applyFill="1" applyAlignment="1">
      <alignment horizontal="center" vertical="center" wrapText="1"/>
    </xf>
    <xf numFmtId="0" fontId="70" fillId="46" borderId="1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8" borderId="1" xfId="0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3" fontId="70" fillId="46" borderId="2" xfId="1" applyFont="1" applyFill="1" applyBorder="1" applyAlignment="1">
      <alignment horizontal="center" vertical="center"/>
    </xf>
    <xf numFmtId="43" fontId="70" fillId="46" borderId="7" xfId="1" applyFont="1" applyFill="1" applyBorder="1" applyAlignment="1">
      <alignment horizontal="center" vertical="center"/>
    </xf>
    <xf numFmtId="0" fontId="70" fillId="46" borderId="2" xfId="0" applyFont="1" applyFill="1" applyBorder="1" applyAlignment="1">
      <alignment horizontal="right" vertical="center"/>
    </xf>
    <xf numFmtId="0" fontId="70" fillId="46" borderId="11" xfId="0" applyFont="1" applyFill="1" applyBorder="1" applyAlignment="1">
      <alignment horizontal="right" vertical="center"/>
    </xf>
    <xf numFmtId="0" fontId="70" fillId="46" borderId="7" xfId="0" applyFont="1" applyFill="1" applyBorder="1" applyAlignment="1">
      <alignment horizontal="right" vertical="center"/>
    </xf>
    <xf numFmtId="0" fontId="80" fillId="0" borderId="32" xfId="0" applyFont="1" applyBorder="1" applyAlignment="1">
      <alignment horizontal="center"/>
    </xf>
    <xf numFmtId="0" fontId="80" fillId="0" borderId="33" xfId="0" applyFont="1" applyBorder="1" applyAlignment="1">
      <alignment horizont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71" fillId="0" borderId="1" xfId="0" applyFont="1" applyBorder="1" applyAlignment="1">
      <alignment horizontal="center" wrapText="1"/>
    </xf>
    <xf numFmtId="0" fontId="74" fillId="0" borderId="28" xfId="0" applyFont="1" applyBorder="1" applyAlignment="1">
      <alignment horizontal="center" wrapText="1"/>
    </xf>
    <xf numFmtId="0" fontId="70" fillId="0" borderId="1" xfId="0" applyFont="1" applyBorder="1" applyAlignment="1">
      <alignment horizontal="center"/>
    </xf>
    <xf numFmtId="0" fontId="23" fillId="46" borderId="1" xfId="0" applyFont="1" applyFill="1" applyBorder="1" applyAlignment="1">
      <alignment horizontal="center" vertical="center"/>
    </xf>
    <xf numFmtId="0" fontId="0" fillId="0" borderId="31" xfId="0" applyBorder="1" applyAlignment="1">
      <alignment horizontal="left" wrapText="1"/>
    </xf>
    <xf numFmtId="0" fontId="14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73" fillId="47" borderId="1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1" fillId="58" borderId="1" xfId="0" applyFont="1" applyFill="1" applyBorder="1" applyAlignment="1">
      <alignment horizontal="right"/>
    </xf>
    <xf numFmtId="0" fontId="33" fillId="58" borderId="32" xfId="0" applyFont="1" applyFill="1" applyBorder="1" applyAlignment="1">
      <alignment horizontal="center"/>
    </xf>
    <xf numFmtId="0" fontId="33" fillId="58" borderId="33" xfId="0" applyFont="1" applyFill="1" applyBorder="1" applyAlignment="1">
      <alignment horizontal="center"/>
    </xf>
    <xf numFmtId="0" fontId="33" fillId="58" borderId="34" xfId="0" applyFont="1" applyFill="1" applyBorder="1" applyAlignment="1">
      <alignment horizontal="center"/>
    </xf>
    <xf numFmtId="0" fontId="33" fillId="58" borderId="19" xfId="0" applyFont="1" applyFill="1" applyBorder="1" applyAlignment="1">
      <alignment horizontal="center"/>
    </xf>
    <xf numFmtId="0" fontId="33" fillId="58" borderId="20" xfId="0" applyFont="1" applyFill="1" applyBorder="1" applyAlignment="1">
      <alignment horizontal="center"/>
    </xf>
    <xf numFmtId="0" fontId="33" fillId="58" borderId="2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2" fillId="47" borderId="32" xfId="0" applyFont="1" applyFill="1" applyBorder="1" applyAlignment="1">
      <alignment horizontal="center"/>
    </xf>
    <xf numFmtId="0" fontId="82" fillId="47" borderId="33" xfId="0" applyFont="1" applyFill="1" applyBorder="1" applyAlignment="1">
      <alignment horizontal="center"/>
    </xf>
    <xf numFmtId="0" fontId="82" fillId="47" borderId="19" xfId="0" applyFont="1" applyFill="1" applyBorder="1" applyAlignment="1">
      <alignment horizontal="center"/>
    </xf>
    <xf numFmtId="0" fontId="82" fillId="47" borderId="20" xfId="0" applyFont="1" applyFill="1" applyBorder="1" applyAlignment="1">
      <alignment horizontal="center"/>
    </xf>
    <xf numFmtId="0" fontId="2" fillId="7" borderId="0" xfId="0" applyFont="1" applyFill="1" applyAlignment="1">
      <alignment horizontal="justify" vertical="center"/>
    </xf>
    <xf numFmtId="0" fontId="2" fillId="0" borderId="0" xfId="0" applyFont="1"/>
    <xf numFmtId="0" fontId="14" fillId="0" borderId="0" xfId="0" applyFont="1" applyAlignment="1">
      <alignment vertical="center"/>
    </xf>
    <xf numFmtId="165" fontId="22" fillId="47" borderId="1" xfId="2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16" borderId="2" xfId="0" applyFont="1" applyFill="1" applyBorder="1" applyAlignment="1">
      <alignment horizontal="center" vertical="center"/>
    </xf>
    <xf numFmtId="0" fontId="23" fillId="16" borderId="11" xfId="0" applyFont="1" applyFill="1" applyBorder="1" applyAlignment="1">
      <alignment horizontal="center" vertical="center"/>
    </xf>
    <xf numFmtId="0" fontId="23" fillId="16" borderId="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10" xfId="0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 wrapText="1"/>
    </xf>
    <xf numFmtId="0" fontId="14" fillId="0" borderId="76" xfId="0" applyFont="1" applyBorder="1" applyAlignment="1">
      <alignment horizontal="left"/>
    </xf>
    <xf numFmtId="0" fontId="14" fillId="0" borderId="77" xfId="0" applyFont="1" applyBorder="1" applyAlignment="1">
      <alignment horizontal="left"/>
    </xf>
    <xf numFmtId="4" fontId="26" fillId="44" borderId="90" xfId="0" applyNumberFormat="1" applyFont="1" applyFill="1" applyBorder="1"/>
    <xf numFmtId="10" fontId="14" fillId="8" borderId="110" xfId="69" applyNumberFormat="1" applyFont="1" applyFill="1" applyBorder="1" applyAlignment="1" applyProtection="1"/>
    <xf numFmtId="4" fontId="22" fillId="44" borderId="111" xfId="0" applyNumberFormat="1" applyFont="1" applyFill="1" applyBorder="1"/>
    <xf numFmtId="4" fontId="14" fillId="44" borderId="1" xfId="0" applyNumberFormat="1" applyFont="1" applyFill="1" applyBorder="1"/>
    <xf numFmtId="4" fontId="26" fillId="44" borderId="1" xfId="0" applyNumberFormat="1" applyFont="1" applyFill="1" applyBorder="1"/>
    <xf numFmtId="0" fontId="62" fillId="0" borderId="31" xfId="5" applyFont="1" applyBorder="1" applyAlignment="1">
      <alignment vertical="center"/>
    </xf>
  </cellXfs>
  <cellStyles count="118">
    <cellStyle name="20% - Ênfase1 2" xfId="36" xr:uid="{4822C376-D20C-4473-B356-C1F096C8541B}"/>
    <cellStyle name="20% - Ênfase2 2" xfId="37" xr:uid="{72A7A442-F970-4C7D-96BF-2A2C89907BF0}"/>
    <cellStyle name="20% - Ênfase3 2" xfId="38" xr:uid="{B5F35AD4-780D-4F37-AC06-8131DA3C8619}"/>
    <cellStyle name="20% - Ênfase4 2" xfId="39" xr:uid="{79B6353B-DBD1-4A74-8F6F-05146800340B}"/>
    <cellStyle name="20% - Ênfase5 2" xfId="40" xr:uid="{4FEECEEB-306F-4620-9B3D-9C5A12676CD9}"/>
    <cellStyle name="20% - Ênfase6 2" xfId="41" xr:uid="{37913CFE-602F-47ED-BDEF-45D36AD2B2B3}"/>
    <cellStyle name="40% - Ênfase1 2" xfId="42" xr:uid="{5B2174F4-DDD3-4547-B415-B5820B509A58}"/>
    <cellStyle name="40% - Ênfase2 2" xfId="43" xr:uid="{F6E94FAE-7A7F-4043-804C-E8C379AE9E95}"/>
    <cellStyle name="40% - Ênfase3 2" xfId="44" xr:uid="{920C7B74-9D87-4E7D-AA28-9425558FA3A1}"/>
    <cellStyle name="40% - Ênfase4 2" xfId="45" xr:uid="{11C90C81-E931-4486-B1EA-A59C4CE1A8FE}"/>
    <cellStyle name="40% - Ênfase5 2" xfId="46" xr:uid="{3F548582-5863-4F92-A252-A21735839845}"/>
    <cellStyle name="40% - Ênfase6 2" xfId="47" xr:uid="{7D7CDC58-6005-432B-AEDB-5E285B599832}"/>
    <cellStyle name="60% - Ênfase1 2" xfId="48" xr:uid="{EF665DB9-493F-450C-B658-25FE5259DCDA}"/>
    <cellStyle name="60% - Ênfase2 2" xfId="49" xr:uid="{9C0D0184-13C3-47AC-A0B2-CB5B423790F1}"/>
    <cellStyle name="60% - Ênfase3 2" xfId="50" xr:uid="{C227877E-C0DD-4FAF-8BBF-77B8D74DD069}"/>
    <cellStyle name="60% - Ênfase4 2" xfId="51" xr:uid="{80DBFCAB-1CAF-43F3-80C3-31C3F7265193}"/>
    <cellStyle name="60% - Ênfase5 2" xfId="52" xr:uid="{EA31871D-83EA-42DF-8C7E-A6BF4486FEE6}"/>
    <cellStyle name="60% - Ênfase6 2" xfId="53" xr:uid="{894FBE8A-222D-4F17-9E69-706B7DE442A4}"/>
    <cellStyle name="Bom 2" xfId="54" xr:uid="{26BC1960-63DB-4230-90FE-CD307473BFEE}"/>
    <cellStyle name="Cálculo 2" xfId="55" xr:uid="{2DC62EC4-AAFB-407D-83F9-28B2C8827920}"/>
    <cellStyle name="Cancel" xfId="56" xr:uid="{85135907-CB50-48EE-8582-FA7ADEA628DA}"/>
    <cellStyle name="Cancel 2" xfId="7" xr:uid="{75D0C8F6-7B9D-4F7B-8C6B-2C06B388AF14}"/>
    <cellStyle name="Cancel 4" xfId="8" xr:uid="{289C2804-B593-4536-9BE0-006106BF572A}"/>
    <cellStyle name="Célula de Verificação 2" xfId="57" xr:uid="{56041AFE-1683-4B4B-AD18-C2F78B910461}"/>
    <cellStyle name="Célula Vinculada 2" xfId="58" xr:uid="{E8BC173A-FCAA-4933-84F9-93F450E89D86}"/>
    <cellStyle name="Ênfase1 2" xfId="59" xr:uid="{FBB5A602-6875-4ABA-8A01-1A48BE0883A4}"/>
    <cellStyle name="Ênfase2 2" xfId="60" xr:uid="{E43EBEA2-11C7-4A59-A1FC-B62A11FDF59B}"/>
    <cellStyle name="Ênfase3 2" xfId="61" xr:uid="{21405E29-0063-4180-8B14-270C49671EBE}"/>
    <cellStyle name="Ênfase4 2" xfId="62" xr:uid="{7441C990-A6B4-405D-9453-B0CB15E63F6A}"/>
    <cellStyle name="Ênfase5 2" xfId="63" xr:uid="{4DAE70FC-68C7-456E-890F-D59EA6AA1E77}"/>
    <cellStyle name="Ênfase6 2" xfId="64" xr:uid="{5EE7D580-4770-44F1-97E1-9F9D62C4A0BA}"/>
    <cellStyle name="Entrada 2" xfId="65" xr:uid="{87788262-DF7A-426F-BBF0-28FCCD94DF31}"/>
    <cellStyle name="Euro" xfId="15" xr:uid="{6A66612D-2A7D-45B9-82D6-AD9D005B8F01}"/>
    <cellStyle name="Excel Built-in Normal" xfId="16" xr:uid="{F0DB2E65-EF1C-4377-A9CA-2A8962EC5C52}"/>
    <cellStyle name="Excel Built-in Normal 2" xfId="17" xr:uid="{03AB9530-3455-4D90-A65E-1A78ABA21510}"/>
    <cellStyle name="Hiperlink" xfId="106" builtinId="8"/>
    <cellStyle name="Moeda 2" xfId="19" xr:uid="{47781FA6-0764-4229-8160-6CA502848390}"/>
    <cellStyle name="Moeda 2 2" xfId="88" xr:uid="{A399B2D8-4C46-48D4-A713-5182CDBB228E}"/>
    <cellStyle name="Moeda 2 3" xfId="105" xr:uid="{1535E09F-AFF0-430A-A2FD-25E8B5670038}"/>
    <cellStyle name="Moeda 2 4" xfId="112" xr:uid="{0219EE63-9772-45D4-9768-821093EC715C}"/>
    <cellStyle name="Moeda 3" xfId="20" xr:uid="{A7B323D7-C728-4966-AA99-CA5F40FCAB88}"/>
    <cellStyle name="Moeda 4" xfId="21" xr:uid="{99ADEA3E-DC33-42FF-9A33-45F3DD971737}"/>
    <cellStyle name="Moeda 5" xfId="18" xr:uid="{56A224C7-D353-4437-892A-D96B70755CE1}"/>
    <cellStyle name="Moeda 6" xfId="85" xr:uid="{DD5E9BAF-032F-4963-8911-59E1927ED107}"/>
    <cellStyle name="Moeda 6 2" xfId="117" xr:uid="{AE3EA976-ABFB-4EF1-8EDB-DCDE706B0F9A}"/>
    <cellStyle name="Moeda 7" xfId="89" xr:uid="{BF3AA6B5-7D0E-41E6-8915-EEEA7762AFD4}"/>
    <cellStyle name="Moeda 8" xfId="102" xr:uid="{E5DEC0F7-02E5-4978-BCA8-66B0F5592446}"/>
    <cellStyle name="Neutro 2" xfId="67" xr:uid="{6D6154B7-5290-4AE1-830A-F931DE33FC51}"/>
    <cellStyle name="Normal" xfId="0" builtinId="0"/>
    <cellStyle name="Normal 2" xfId="2" xr:uid="{00000000-0005-0000-0000-00002F000000}"/>
    <cellStyle name="Normal 2 2" xfId="22" xr:uid="{C53C9352-7CB8-4933-99F2-3EB9DAEF4C3B}"/>
    <cellStyle name="Normal 2 2 2" xfId="5" xr:uid="{8172D2D2-9F1B-4C2A-B58E-A3CCC6F551D3}"/>
    <cellStyle name="Normal 2 2 3" xfId="23" xr:uid="{6FBA38B9-61B7-483A-B015-0B165C2EC0DE}"/>
    <cellStyle name="Normal 2 2 4" xfId="90" xr:uid="{03D40305-26E8-467D-A171-27507F5E8EE6}"/>
    <cellStyle name="Normal 2 3" xfId="24" xr:uid="{C4429531-0783-4F8E-88A5-AC608A783194}"/>
    <cellStyle name="Normal 2 36" xfId="25" xr:uid="{1B5D1050-F285-4B75-93C8-0EB9BF5EA291}"/>
    <cellStyle name="Normal 3" xfId="3" xr:uid="{00000000-0005-0000-0000-000030000000}"/>
    <cellStyle name="Normal 3 2" xfId="98" xr:uid="{AFAAFCA8-E419-4DBD-B40D-E42483BEB749}"/>
    <cellStyle name="Normal 3 3" xfId="92" xr:uid="{275B9967-FB8A-47B3-8A38-30AD67CCA067}"/>
    <cellStyle name="Normal 4" xfId="26" xr:uid="{7D011924-6CD6-42B8-9FDA-93AE2020AEB0}"/>
    <cellStyle name="Normal 4 2" xfId="94" xr:uid="{7F23BAA6-5C6A-4B04-80AA-85E52BFBAFC4}"/>
    <cellStyle name="Normal 4 3" xfId="27" xr:uid="{6BDA1219-B34C-4232-9AC8-5512BCF3E0B0}"/>
    <cellStyle name="Normal 5" xfId="14" xr:uid="{E5684904-AA03-4F9A-94E2-49478B6E8604}"/>
    <cellStyle name="Normal 5 2" xfId="96" xr:uid="{E5964A2C-76B8-4354-9AFB-8521BCB79AAF}"/>
    <cellStyle name="Normal 6" xfId="12" xr:uid="{76DACAEF-F72C-4149-8CED-25144C32F4F1}"/>
    <cellStyle name="Normal 6 2" xfId="97" xr:uid="{3C330AA8-642F-4B46-9FE7-1C3FC360CB11}"/>
    <cellStyle name="Normal 7" xfId="84" xr:uid="{191A1816-AD25-4FD4-A192-35788BD68934}"/>
    <cellStyle name="Normal 7 2" xfId="99" xr:uid="{3C877ACA-D447-47A4-8DAA-2F1A52831AB1}"/>
    <cellStyle name="Normal 8" xfId="86" xr:uid="{E4308A19-03C5-41B4-8FFD-9BF0BA8E4E3D}"/>
    <cellStyle name="Normal 9" xfId="28" xr:uid="{07786C50-AE5E-4EEF-931B-48E2A6BE4A4F}"/>
    <cellStyle name="Normal_Fatura TCU contrato nº 32-2005" xfId="4" xr:uid="{EB56518C-A8D1-4666-9A5F-955C35A514F4}"/>
    <cellStyle name="Normal_Pesquisa no referencial 10 de maio de 2013" xfId="13" xr:uid="{46791AA5-B82F-422B-8EFF-87A8DCDA906E}"/>
    <cellStyle name="Nota 2" xfId="68" xr:uid="{23CE9340-B5A8-442C-B5F0-42832C2F1DE8}"/>
    <cellStyle name="Porcentagem" xfId="6" builtinId="5"/>
    <cellStyle name="Porcentagem 2" xfId="29" xr:uid="{09BC9C28-7B6A-497F-8B9A-03D147DFF5B1}"/>
    <cellStyle name="Porcentagem 2 2" xfId="91" xr:uid="{638D2E55-40E3-4D45-94CF-2B262D384F34}"/>
    <cellStyle name="Porcentagem 3" xfId="69" xr:uid="{AB1520B7-BE0E-4D2C-9B4F-38450A56C33E}"/>
    <cellStyle name="Porcentagem 3 2" xfId="93" xr:uid="{1BEDED08-1F06-40AB-9139-30C8145DD89F}"/>
    <cellStyle name="Porcentagem 4" xfId="95" xr:uid="{F8E6641F-D208-4762-9BE1-766413CDECF8}"/>
    <cellStyle name="Porcentagem 5" xfId="100" xr:uid="{EBEC2631-D61A-4792-9EA5-70F5C1791C52}"/>
    <cellStyle name="Ruim 2" xfId="66" xr:uid="{48714F9E-C243-4B3D-BF7D-F43ABC2DDE61}"/>
    <cellStyle name="Saída 2" xfId="70" xr:uid="{8D11CFC7-2557-4BB8-893D-EDBDE612BD5D}"/>
    <cellStyle name="Separador de milhares 2" xfId="9" xr:uid="{820E3C81-D268-48B9-ABC1-49E3408B9EAB}"/>
    <cellStyle name="Separador de milhares 2 2" xfId="11" xr:uid="{A07CBC0F-46C0-4961-81C9-6676CC852F8D}"/>
    <cellStyle name="Separador de milhares 2 2 2" xfId="111" xr:uid="{BAD714B5-8BD9-4622-8706-0E974884FE79}"/>
    <cellStyle name="Separador de milhares 2 3" xfId="30" xr:uid="{5CC2F0F8-77CA-4C62-8E59-8907649684BD}"/>
    <cellStyle name="Separador de milhares 2 3 2" xfId="113" xr:uid="{AC4E20C5-6A29-4B8A-B0A5-FCF6E130026F}"/>
    <cellStyle name="Separador de milhares 2 4" xfId="109" xr:uid="{7FA2FF48-12F3-457D-A590-55B92F90F8E5}"/>
    <cellStyle name="Separador de milhares 3" xfId="10" xr:uid="{4839DD26-32B6-4C4F-B330-EB6DA4DCAB61}"/>
    <cellStyle name="Separador de milhares 3 2" xfId="31" xr:uid="{420B358D-0BFF-4148-A2CB-7DA1637592E3}"/>
    <cellStyle name="Separador de milhares 3 3" xfId="110" xr:uid="{6F0986BF-941E-4725-9B37-8C784C609A22}"/>
    <cellStyle name="Separador de milhares 4" xfId="32" xr:uid="{A7DB9E0E-8B43-43E0-836D-BBEF380B7BEF}"/>
    <cellStyle name="Texto de Aviso 2" xfId="72" xr:uid="{46AA087A-4D89-403E-BD80-43FBF176F6D1}"/>
    <cellStyle name="Texto Explicativo 2" xfId="73" xr:uid="{CB556A3B-4D84-4A01-95C8-6A93E71EFBE9}"/>
    <cellStyle name="Título 1 1" xfId="75" xr:uid="{D8D2240A-9C40-4B77-A982-0C87052CA25C}"/>
    <cellStyle name="Título 1 1 1" xfId="76" xr:uid="{CBF654CF-0E40-47C5-9047-0ED6AAA64348}"/>
    <cellStyle name="Título 1 1 1 1" xfId="77" xr:uid="{771CD761-9A86-4262-B1DC-C93F35494071}"/>
    <cellStyle name="Título 1 1 1 1 1" xfId="78" xr:uid="{DD5831E8-06FE-46D5-8FA2-9EC3F68CBB24}"/>
    <cellStyle name="Título 1 1 1 1 1 1" xfId="79" xr:uid="{F23CAB1F-A67F-4F7F-BE23-08214F5DDA69}"/>
    <cellStyle name="Título 1 2" xfId="74" xr:uid="{8842E24F-B7E5-4BF2-A8ED-C3E8058C4CCF}"/>
    <cellStyle name="Título 2 2" xfId="80" xr:uid="{961F0675-70A7-4A2A-AF93-926FE6EE2A74}"/>
    <cellStyle name="Título 3 2" xfId="81" xr:uid="{1DAA6435-03CF-4C62-893F-F6352987EA94}"/>
    <cellStyle name="Título 4 2" xfId="82" xr:uid="{CE1B3A49-F583-45E9-957B-331D5A6FFDB9}"/>
    <cellStyle name="Total 2" xfId="83" xr:uid="{8AC530AF-1A7D-43E5-9251-5CB85817BC50}"/>
    <cellStyle name="Vírgula" xfId="1" builtinId="3"/>
    <cellStyle name="Vírgula 2" xfId="33" xr:uid="{452255C6-38B1-4FD8-8440-90B1C656B617}"/>
    <cellStyle name="Vírgula 2 2" xfId="34" xr:uid="{B7780F8D-04D8-4A74-A573-233D8F085D30}"/>
    <cellStyle name="Vírgula 2 2 2" xfId="115" xr:uid="{F0C67517-2E1A-4817-BEE8-63BAC94F6947}"/>
    <cellStyle name="Vírgula 2 3" xfId="104" xr:uid="{1AC21420-A547-4456-8F3C-F3690A0934B2}"/>
    <cellStyle name="Vírgula 2 4" xfId="114" xr:uid="{21309C63-A0DD-4A55-B323-7D84D73190D1}"/>
    <cellStyle name="Vírgula 3" xfId="35" xr:uid="{86BA00B6-6DFE-4027-A79D-9DCD914DDD33}"/>
    <cellStyle name="Vírgula 3 2" xfId="103" xr:uid="{5F9C6AA4-EDEC-4292-9BFA-9D8AFEEF968C}"/>
    <cellStyle name="Vírgula 3 3" xfId="116" xr:uid="{8577E95D-B321-48BF-953F-1D406B6E54FF}"/>
    <cellStyle name="Vírgula 4" xfId="71" xr:uid="{752A237A-BAD8-493D-A232-6CC8A1AEAA84}"/>
    <cellStyle name="Vírgula 5" xfId="101" xr:uid="{A8FA1EF2-DFE3-425C-9CF0-1B80E0365100}"/>
    <cellStyle name="Vírgula 5 2" xfId="108" xr:uid="{8A0F149E-5969-43F3-8AD3-94212EAA1E8F}"/>
    <cellStyle name="Vírgula 6" xfId="87" xr:uid="{42CF110F-D943-474B-8215-45DCBC465735}"/>
    <cellStyle name="Vírgula 7" xfId="107" xr:uid="{62F51CC2-CF3E-45EF-8B94-903BB5BF34F7}"/>
  </cellStyles>
  <dxfs count="100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cid:image001.jpg@01D13107.E1251150" TargetMode="External"/><Relationship Id="rId1" Type="http://schemas.openxmlformats.org/officeDocument/2006/relationships/image" Target="../media/image3.jpe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48</xdr:row>
      <xdr:rowOff>57150</xdr:rowOff>
    </xdr:from>
    <xdr:to>
      <xdr:col>4</xdr:col>
      <xdr:colOff>1152525</xdr:colOff>
      <xdr:row>48</xdr:row>
      <xdr:rowOff>2005623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82A0CE-7D03-4A3D-BED8-81931E08A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15821025"/>
          <a:ext cx="5038725" cy="1948473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79</xdr:row>
      <xdr:rowOff>3810000</xdr:rowOff>
    </xdr:from>
    <xdr:to>
      <xdr:col>10</xdr:col>
      <xdr:colOff>438591</xdr:colOff>
      <xdr:row>81</xdr:row>
      <xdr:rowOff>190606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3C88C-2AEF-93F8-EDA3-316D518F4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4225" y="34109025"/>
          <a:ext cx="3162741" cy="76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38100</xdr:rowOff>
    </xdr:from>
    <xdr:to>
      <xdr:col>7</xdr:col>
      <xdr:colOff>587375</xdr:colOff>
      <xdr:row>7</xdr:row>
      <xdr:rowOff>173355</xdr:rowOff>
    </xdr:to>
    <xdr:pic>
      <xdr:nvPicPr>
        <xdr:cNvPr id="2" name="Imagem 1" descr="cid:image001.jpg@01D13107.E1251150">
          <a:extLst>
            <a:ext uri="{FF2B5EF4-FFF2-40B4-BE49-F238E27FC236}">
              <a16:creationId xmlns:a16="http://schemas.microsoft.com/office/drawing/2014/main" id="{F486F6FC-4CDC-4DC7-BD8D-3D67988271D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847725"/>
          <a:ext cx="3416300" cy="897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285750</xdr:colOff>
      <xdr:row>10</xdr:row>
      <xdr:rowOff>66675</xdr:rowOff>
    </xdr:from>
    <xdr:to>
      <xdr:col>8</xdr:col>
      <xdr:colOff>603250</xdr:colOff>
      <xdr:row>17</xdr:row>
      <xdr:rowOff>149225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E705C11-529B-47DF-BB74-2812855961AE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30830" t="42011" r="33268" b="37208"/>
        <a:stretch/>
      </xdr:blipFill>
      <xdr:spPr bwMode="auto">
        <a:xfrm>
          <a:off x="895350" y="2209800"/>
          <a:ext cx="4584700" cy="1492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28574</xdr:colOff>
      <xdr:row>25</xdr:row>
      <xdr:rowOff>38099</xdr:rowOff>
    </xdr:from>
    <xdr:to>
      <xdr:col>9</xdr:col>
      <xdr:colOff>571499</xdr:colOff>
      <xdr:row>42</xdr:row>
      <xdr:rowOff>66674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9A5F74A-2FF4-4876-8665-847A2BADCA8B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0831" t="19321" r="24760" b="32238"/>
        <a:stretch/>
      </xdr:blipFill>
      <xdr:spPr bwMode="auto">
        <a:xfrm>
          <a:off x="638174" y="5114924"/>
          <a:ext cx="5419725" cy="3343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57150</xdr:colOff>
      <xdr:row>43</xdr:row>
      <xdr:rowOff>28574</xdr:rowOff>
    </xdr:from>
    <xdr:to>
      <xdr:col>9</xdr:col>
      <xdr:colOff>485775</xdr:colOff>
      <xdr:row>52</xdr:row>
      <xdr:rowOff>19049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C5004DA-AE8E-446E-AA3F-0BC82E4AF307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0831" t="67400" r="24760" b="11581"/>
        <a:stretch/>
      </xdr:blipFill>
      <xdr:spPr bwMode="auto">
        <a:xfrm>
          <a:off x="666750" y="8534399"/>
          <a:ext cx="5305425" cy="1704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2A5E-1055-4B1A-9056-B55C1B574B22}">
  <sheetPr>
    <tabColor rgb="FF92D050"/>
    <pageSetUpPr fitToPage="1"/>
  </sheetPr>
  <dimension ref="A2:M31"/>
  <sheetViews>
    <sheetView tabSelected="1" zoomScale="85" zoomScaleNormal="85" workbookViewId="0">
      <selection activeCell="B41" sqref="B41"/>
    </sheetView>
  </sheetViews>
  <sheetFormatPr defaultRowHeight="15"/>
  <cols>
    <col min="1" max="1" width="34" style="314" customWidth="1"/>
    <col min="2" max="2" width="9.140625" style="155"/>
    <col min="3" max="3" width="64.140625" customWidth="1"/>
    <col min="4" max="4" width="13.85546875" customWidth="1"/>
    <col min="5" max="8" width="14.7109375" customWidth="1"/>
    <col min="9" max="9" width="13.85546875" bestFit="1" customWidth="1"/>
    <col min="10" max="10" width="13.28515625" customWidth="1"/>
    <col min="11" max="11" width="14.7109375" customWidth="1"/>
    <col min="12" max="12" width="11.7109375" customWidth="1"/>
    <col min="13" max="15" width="10.7109375" customWidth="1"/>
  </cols>
  <sheetData>
    <row r="2" spans="1:10" ht="37.5" customHeight="1">
      <c r="A2" s="575" t="s">
        <v>1043</v>
      </c>
      <c r="B2" s="575"/>
      <c r="C2" s="575"/>
      <c r="D2" s="575"/>
      <c r="E2" s="575"/>
      <c r="F2" s="575"/>
      <c r="G2" s="575"/>
      <c r="H2" s="575"/>
      <c r="I2" s="309"/>
      <c r="J2" s="309"/>
    </row>
    <row r="3" spans="1:10" ht="30">
      <c r="A3" s="310" t="s">
        <v>1044</v>
      </c>
      <c r="B3" s="310" t="s">
        <v>1041</v>
      </c>
      <c r="C3" s="311" t="s">
        <v>1</v>
      </c>
      <c r="D3" s="310" t="s">
        <v>1289</v>
      </c>
      <c r="E3" s="310" t="s">
        <v>188</v>
      </c>
      <c r="F3" s="310" t="s">
        <v>1045</v>
      </c>
      <c r="G3" s="310" t="s">
        <v>1290</v>
      </c>
      <c r="H3" s="310" t="s">
        <v>1291</v>
      </c>
    </row>
    <row r="4" spans="1:10" ht="15" customHeight="1">
      <c r="A4" s="576" t="s">
        <v>1046</v>
      </c>
      <c r="B4" s="553">
        <v>1</v>
      </c>
      <c r="C4" s="554" t="s">
        <v>1036</v>
      </c>
      <c r="D4" s="553">
        <v>1</v>
      </c>
      <c r="E4" s="555" t="s">
        <v>1047</v>
      </c>
      <c r="F4" s="556">
        <f>'Planilha IN05_MO residente'!F113</f>
        <v>32704.21</v>
      </c>
      <c r="G4" s="557">
        <f>D4*F4</f>
        <v>32704.21</v>
      </c>
      <c r="H4" s="557">
        <f>ROUND(G4*12,2)</f>
        <v>392450.52</v>
      </c>
    </row>
    <row r="5" spans="1:10">
      <c r="A5" s="577"/>
      <c r="B5" s="553">
        <v>2</v>
      </c>
      <c r="C5" s="554" t="s">
        <v>1048</v>
      </c>
      <c r="D5" s="553">
        <v>1</v>
      </c>
      <c r="E5" s="555" t="s">
        <v>1047</v>
      </c>
      <c r="F5" s="556">
        <f>'Planilha IN05_MO residente'!G113</f>
        <v>32704.21</v>
      </c>
      <c r="G5" s="557">
        <f t="shared" ref="G5:G17" si="0">D5*F5</f>
        <v>32704.21</v>
      </c>
      <c r="H5" s="557">
        <f t="shared" ref="H5:H20" si="1">ROUND(G5*12,2)</f>
        <v>392450.52</v>
      </c>
    </row>
    <row r="6" spans="1:10">
      <c r="A6" s="577"/>
      <c r="B6" s="553">
        <v>3</v>
      </c>
      <c r="C6" s="554" t="s">
        <v>1037</v>
      </c>
      <c r="D6" s="553">
        <f>20*4</f>
        <v>80</v>
      </c>
      <c r="E6" s="555" t="s">
        <v>1049</v>
      </c>
      <c r="F6" s="556">
        <f>'Planilha IN05_MO residente'!G120</f>
        <v>185.81937500000001</v>
      </c>
      <c r="G6" s="557">
        <f>D6*F6</f>
        <v>14865.550000000001</v>
      </c>
      <c r="H6" s="557">
        <f t="shared" si="1"/>
        <v>178386.6</v>
      </c>
    </row>
    <row r="7" spans="1:10">
      <c r="A7" s="577"/>
      <c r="B7" s="553">
        <v>4</v>
      </c>
      <c r="C7" s="554" t="s">
        <v>1050</v>
      </c>
      <c r="D7" s="553">
        <v>1</v>
      </c>
      <c r="E7" s="555" t="s">
        <v>1047</v>
      </c>
      <c r="F7" s="556">
        <f>'Planilha IN05_MO residente'!I113</f>
        <v>10286.86</v>
      </c>
      <c r="G7" s="557">
        <f>D7*F7</f>
        <v>10286.86</v>
      </c>
      <c r="H7" s="557">
        <f t="shared" si="1"/>
        <v>123442.32</v>
      </c>
      <c r="I7" s="14"/>
      <c r="J7" s="14"/>
    </row>
    <row r="8" spans="1:10">
      <c r="A8" s="578"/>
      <c r="B8" s="553">
        <v>5</v>
      </c>
      <c r="C8" s="554" t="s">
        <v>1051</v>
      </c>
      <c r="D8" s="553">
        <v>1</v>
      </c>
      <c r="E8" s="555" t="s">
        <v>1047</v>
      </c>
      <c r="F8" s="556">
        <f>'Planilha IN05_MO residente'!J113</f>
        <v>8120.66</v>
      </c>
      <c r="G8" s="557">
        <f t="shared" si="0"/>
        <v>8120.66</v>
      </c>
      <c r="H8" s="557">
        <f t="shared" si="1"/>
        <v>97447.92</v>
      </c>
      <c r="I8" s="14"/>
      <c r="J8" s="14"/>
    </row>
    <row r="9" spans="1:10" ht="15" customHeight="1">
      <c r="A9" s="576" t="s">
        <v>1052</v>
      </c>
      <c r="B9" s="553">
        <v>6</v>
      </c>
      <c r="C9" s="554" t="s">
        <v>1053</v>
      </c>
      <c r="D9" s="553">
        <v>1</v>
      </c>
      <c r="E9" s="555" t="s">
        <v>1047</v>
      </c>
      <c r="F9" s="556">
        <f>'Planilha IN05_MO residente'!K113</f>
        <v>15388.4</v>
      </c>
      <c r="G9" s="557">
        <f t="shared" si="0"/>
        <v>15388.4</v>
      </c>
      <c r="H9" s="557">
        <f t="shared" si="1"/>
        <v>184660.8</v>
      </c>
    </row>
    <row r="10" spans="1:10">
      <c r="A10" s="577"/>
      <c r="B10" s="553">
        <v>7</v>
      </c>
      <c r="C10" s="554" t="s">
        <v>1054</v>
      </c>
      <c r="D10" s="553">
        <v>1</v>
      </c>
      <c r="E10" s="555" t="s">
        <v>1047</v>
      </c>
      <c r="F10" s="556">
        <f>'Planilha IN05_MO residente'!L113</f>
        <v>12387.93</v>
      </c>
      <c r="G10" s="557">
        <f t="shared" si="0"/>
        <v>12387.93</v>
      </c>
      <c r="H10" s="557">
        <f t="shared" si="1"/>
        <v>148655.16</v>
      </c>
    </row>
    <row r="11" spans="1:10">
      <c r="A11" s="577"/>
      <c r="B11" s="553">
        <v>8</v>
      </c>
      <c r="C11" s="554" t="s">
        <v>1055</v>
      </c>
      <c r="D11" s="553">
        <v>1</v>
      </c>
      <c r="E11" s="555" t="s">
        <v>1047</v>
      </c>
      <c r="F11" s="556">
        <f>'Planilha IN05_MO residente'!M113</f>
        <v>13131.55</v>
      </c>
      <c r="G11" s="557">
        <f t="shared" si="0"/>
        <v>13131.55</v>
      </c>
      <c r="H11" s="557">
        <f t="shared" si="1"/>
        <v>157578.6</v>
      </c>
    </row>
    <row r="12" spans="1:10">
      <c r="A12" s="577"/>
      <c r="B12" s="553">
        <v>9</v>
      </c>
      <c r="C12" s="554" t="s">
        <v>1056</v>
      </c>
      <c r="D12" s="553">
        <v>1</v>
      </c>
      <c r="E12" s="555" t="s">
        <v>1047</v>
      </c>
      <c r="F12" s="556">
        <f>'Planilha IN05_MO residente'!N113</f>
        <v>13131.55</v>
      </c>
      <c r="G12" s="557">
        <f t="shared" si="0"/>
        <v>13131.55</v>
      </c>
      <c r="H12" s="557">
        <f t="shared" si="1"/>
        <v>157578.6</v>
      </c>
    </row>
    <row r="13" spans="1:10">
      <c r="A13" s="577"/>
      <c r="B13" s="553">
        <v>10</v>
      </c>
      <c r="C13" s="554" t="s">
        <v>1057</v>
      </c>
      <c r="D13" s="553">
        <v>1</v>
      </c>
      <c r="E13" s="555" t="s">
        <v>1047</v>
      </c>
      <c r="F13" s="556">
        <f>'Planilha IN05_MO residente'!O113</f>
        <v>10595.64</v>
      </c>
      <c r="G13" s="557">
        <f t="shared" si="0"/>
        <v>10595.64</v>
      </c>
      <c r="H13" s="557">
        <f t="shared" si="1"/>
        <v>127147.68</v>
      </c>
    </row>
    <row r="14" spans="1:10">
      <c r="A14" s="577"/>
      <c r="B14" s="553">
        <v>11</v>
      </c>
      <c r="C14" s="554" t="s">
        <v>1058</v>
      </c>
      <c r="D14" s="553">
        <v>1</v>
      </c>
      <c r="E14" s="555" t="s">
        <v>1047</v>
      </c>
      <c r="F14" s="556">
        <f>'Planilha IN05_MO residente'!P113</f>
        <v>10595.64</v>
      </c>
      <c r="G14" s="557">
        <f t="shared" si="0"/>
        <v>10595.64</v>
      </c>
      <c r="H14" s="557">
        <f t="shared" si="1"/>
        <v>127147.68</v>
      </c>
    </row>
    <row r="15" spans="1:10">
      <c r="A15" s="577"/>
      <c r="B15" s="553">
        <v>12</v>
      </c>
      <c r="C15" s="554" t="s">
        <v>952</v>
      </c>
      <c r="D15" s="553">
        <v>1</v>
      </c>
      <c r="E15" s="555" t="s">
        <v>1047</v>
      </c>
      <c r="F15" s="556">
        <f>'Planilha IN05_MO residente'!Q113</f>
        <v>8707.69</v>
      </c>
      <c r="G15" s="557">
        <f t="shared" si="0"/>
        <v>8707.69</v>
      </c>
      <c r="H15" s="557">
        <f t="shared" si="1"/>
        <v>104492.28</v>
      </c>
    </row>
    <row r="16" spans="1:10">
      <c r="A16" s="577"/>
      <c r="B16" s="553">
        <v>13</v>
      </c>
      <c r="C16" s="554" t="s">
        <v>1059</v>
      </c>
      <c r="D16" s="553">
        <v>1</v>
      </c>
      <c r="E16" s="555" t="s">
        <v>1047</v>
      </c>
      <c r="F16" s="556">
        <f>'Planilha IN05_MO residente'!R113</f>
        <v>7053.38</v>
      </c>
      <c r="G16" s="557">
        <f>D16*F16</f>
        <v>7053.38</v>
      </c>
      <c r="H16" s="557">
        <f>ROUND(G16*12,2)</f>
        <v>84640.56</v>
      </c>
      <c r="I16" t="s">
        <v>1778</v>
      </c>
    </row>
    <row r="17" spans="1:13">
      <c r="A17" s="578"/>
      <c r="B17" s="553">
        <v>14</v>
      </c>
      <c r="C17" s="554" t="s">
        <v>1060</v>
      </c>
      <c r="D17" s="553">
        <v>1</v>
      </c>
      <c r="E17" s="555" t="s">
        <v>1047</v>
      </c>
      <c r="F17" s="556">
        <f>'Planilha IN05_MO residente'!S113</f>
        <v>5326.84</v>
      </c>
      <c r="G17" s="557">
        <f t="shared" si="0"/>
        <v>5326.84</v>
      </c>
      <c r="H17" s="557">
        <f t="shared" si="1"/>
        <v>63922.080000000002</v>
      </c>
      <c r="I17" s="14">
        <f>SUM(G4:G17)</f>
        <v>195000.11000000002</v>
      </c>
      <c r="J17" s="155" t="s">
        <v>1284</v>
      </c>
      <c r="K17" s="155" t="s">
        <v>1285</v>
      </c>
      <c r="L17" s="155" t="s">
        <v>1287</v>
      </c>
      <c r="M17" s="155" t="s">
        <v>1286</v>
      </c>
    </row>
    <row r="18" spans="1:13">
      <c r="A18" s="558" t="s">
        <v>1061</v>
      </c>
      <c r="B18" s="553">
        <v>15</v>
      </c>
      <c r="C18" s="554" t="s">
        <v>1062</v>
      </c>
      <c r="D18" s="553">
        <v>2</v>
      </c>
      <c r="E18" s="555" t="s">
        <v>188</v>
      </c>
      <c r="F18" s="556">
        <f>ROUND(M18,2)</f>
        <v>695.48</v>
      </c>
      <c r="G18" s="557">
        <f>D18*F18</f>
        <v>1390.96</v>
      </c>
      <c r="H18" s="557">
        <f t="shared" si="1"/>
        <v>16691.52</v>
      </c>
      <c r="J18" s="167">
        <v>1000</v>
      </c>
      <c r="K18" s="167">
        <v>500</v>
      </c>
      <c r="L18" s="167">
        <v>586.44000000000005</v>
      </c>
      <c r="M18" s="14">
        <f>AVERAGE(J18:L18)</f>
        <v>695.48</v>
      </c>
    </row>
    <row r="19" spans="1:13">
      <c r="A19" s="579" t="s">
        <v>1797</v>
      </c>
      <c r="B19" s="553">
        <v>16</v>
      </c>
      <c r="C19" s="554" t="s">
        <v>1064</v>
      </c>
      <c r="D19" s="553">
        <v>200</v>
      </c>
      <c r="E19" s="555" t="s">
        <v>664</v>
      </c>
      <c r="F19" s="556">
        <f>'RESUMO CUSTOS CORRETIVO'!E7</f>
        <v>98.79</v>
      </c>
      <c r="G19" s="557">
        <f>D19*F19</f>
        <v>19758</v>
      </c>
      <c r="H19" s="557">
        <f t="shared" si="1"/>
        <v>237096</v>
      </c>
    </row>
    <row r="20" spans="1:13">
      <c r="A20" s="581"/>
      <c r="B20" s="559">
        <v>17</v>
      </c>
      <c r="C20" s="560" t="s">
        <v>1065</v>
      </c>
      <c r="D20" s="559">
        <v>16</v>
      </c>
      <c r="E20" s="561" t="s">
        <v>664</v>
      </c>
      <c r="F20" s="562">
        <f>'RESUMO CUSTOS CORRETIVO'!E8</f>
        <v>127.32</v>
      </c>
      <c r="G20" s="563">
        <f>D20*F20</f>
        <v>2037.12</v>
      </c>
      <c r="H20" s="563">
        <f t="shared" si="1"/>
        <v>24445.439999999999</v>
      </c>
      <c r="I20" s="14"/>
      <c r="J20" s="14"/>
    </row>
    <row r="21" spans="1:13">
      <c r="A21" s="579" t="s">
        <v>1066</v>
      </c>
      <c r="B21" s="559">
        <v>18</v>
      </c>
      <c r="C21" s="564" t="s">
        <v>1067</v>
      </c>
      <c r="D21" s="559">
        <v>1</v>
      </c>
      <c r="E21" s="561" t="s">
        <v>651</v>
      </c>
      <c r="F21" s="565" t="s">
        <v>992</v>
      </c>
      <c r="G21" s="563">
        <f>H21/12</f>
        <v>41772.678333333337</v>
      </c>
      <c r="H21" s="563">
        <f>'Materiais de reposição'!G157</f>
        <v>501272.14</v>
      </c>
    </row>
    <row r="22" spans="1:13">
      <c r="A22" s="580"/>
      <c r="B22" s="559">
        <v>19</v>
      </c>
      <c r="C22" s="564" t="s">
        <v>1068</v>
      </c>
      <c r="D22" s="559">
        <v>1</v>
      </c>
      <c r="E22" s="561" t="s">
        <v>651</v>
      </c>
      <c r="F22" s="565" t="s">
        <v>992</v>
      </c>
      <c r="G22" s="563">
        <f t="shared" ref="G22:G23" si="2">H22/12</f>
        <v>51159.493333333339</v>
      </c>
      <c r="H22" s="563">
        <f>Equipamentos!G13</f>
        <v>613913.92000000004</v>
      </c>
    </row>
    <row r="23" spans="1:13">
      <c r="A23" s="581"/>
      <c r="B23" s="559">
        <v>20</v>
      </c>
      <c r="C23" s="564" t="s">
        <v>1069</v>
      </c>
      <c r="D23" s="559">
        <v>1</v>
      </c>
      <c r="E23" s="561" t="s">
        <v>651</v>
      </c>
      <c r="F23" s="565" t="s">
        <v>992</v>
      </c>
      <c r="G23" s="563">
        <f t="shared" si="2"/>
        <v>86624.32166666667</v>
      </c>
      <c r="H23" s="563">
        <f>'Serviços eventuais'!G120</f>
        <v>1039491.86</v>
      </c>
    </row>
    <row r="24" spans="1:13">
      <c r="A24" s="586" t="s">
        <v>1767</v>
      </c>
      <c r="B24" s="586"/>
      <c r="C24" s="586"/>
      <c r="D24" s="586"/>
      <c r="E24" s="586"/>
      <c r="F24" s="586"/>
      <c r="G24" s="566">
        <f>SUM(G4:G23)</f>
        <v>397742.68333333335</v>
      </c>
      <c r="H24" s="567">
        <f>SUM(H4:H23)</f>
        <v>4772912.2</v>
      </c>
    </row>
    <row r="26" spans="1:13">
      <c r="D26" s="582" t="s">
        <v>1770</v>
      </c>
      <c r="E26" s="582"/>
      <c r="H26" s="155"/>
    </row>
    <row r="27" spans="1:13">
      <c r="B27" s="568"/>
      <c r="C27" s="570" t="s">
        <v>1768</v>
      </c>
      <c r="D27" s="583">
        <f>ROUND(SUM(H4:H19),2)</f>
        <v>2593788.84</v>
      </c>
      <c r="E27" s="584"/>
      <c r="G27" s="14"/>
      <c r="H27" s="14"/>
    </row>
    <row r="28" spans="1:13">
      <c r="B28" s="569"/>
      <c r="C28" s="570" t="s">
        <v>1769</v>
      </c>
      <c r="D28" s="583">
        <f>ROUND(SUM(H20:H23),2)</f>
        <v>2179123.36</v>
      </c>
      <c r="E28" s="584"/>
      <c r="G28" s="14"/>
      <c r="H28" s="14"/>
    </row>
    <row r="29" spans="1:13">
      <c r="D29" s="585">
        <f>D27+D28</f>
        <v>4772912.1999999993</v>
      </c>
      <c r="E29" s="582"/>
      <c r="H29" s="14"/>
    </row>
    <row r="30" spans="1:13">
      <c r="H30" s="14"/>
    </row>
    <row r="31" spans="1:13">
      <c r="H31" s="14"/>
    </row>
  </sheetData>
  <mergeCells count="10">
    <mergeCell ref="D26:E26"/>
    <mergeCell ref="D27:E27"/>
    <mergeCell ref="D28:E28"/>
    <mergeCell ref="D29:E29"/>
    <mergeCell ref="A24:F24"/>
    <mergeCell ref="A2:H2"/>
    <mergeCell ref="A4:A8"/>
    <mergeCell ref="A9:A17"/>
    <mergeCell ref="A21:A23"/>
    <mergeCell ref="A19:A20"/>
  </mergeCells>
  <pageMargins left="0.511811024" right="0.511811024" top="0.78740157499999996" bottom="0.78740157499999996" header="0.31496062000000002" footer="0.31496062000000002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159E-68D6-4534-93D5-D6C34F5A9D35}">
  <sheetPr>
    <tabColor theme="7" tint="0.59999389629810485"/>
    <pageSetUpPr fitToPage="1"/>
  </sheetPr>
  <dimension ref="A1:K536"/>
  <sheetViews>
    <sheetView topLeftCell="A485" zoomScale="85" zoomScaleNormal="85" workbookViewId="0">
      <selection activeCell="F536" sqref="F536"/>
    </sheetView>
  </sheetViews>
  <sheetFormatPr defaultRowHeight="15.75"/>
  <cols>
    <col min="1" max="1" width="16.42578125" style="34" customWidth="1"/>
    <col min="2" max="2" width="19.7109375" style="34" customWidth="1"/>
    <col min="3" max="3" width="85.42578125" style="34" customWidth="1"/>
    <col min="4" max="5" width="17.5703125" style="34" customWidth="1"/>
    <col min="6" max="6" width="15.85546875" style="429" customWidth="1"/>
    <col min="7" max="7" width="5.7109375" style="34" customWidth="1"/>
    <col min="8" max="8" width="11.5703125" style="34" customWidth="1"/>
    <col min="9" max="9" width="12.42578125" style="34" customWidth="1"/>
    <col min="10" max="10" width="12.5703125" style="34" customWidth="1"/>
    <col min="11" max="11" width="11.7109375" style="34" customWidth="1"/>
    <col min="12" max="218" width="9.140625" style="34"/>
    <col min="219" max="219" width="15.28515625" style="34" customWidth="1"/>
    <col min="220" max="220" width="10.140625" style="34" customWidth="1"/>
    <col min="221" max="221" width="7.28515625" style="34" customWidth="1"/>
    <col min="222" max="222" width="68.7109375" style="34" customWidth="1"/>
    <col min="223" max="223" width="15" style="34" customWidth="1"/>
    <col min="224" max="224" width="14.140625" style="34" bestFit="1" customWidth="1"/>
    <col min="225" max="225" width="16.5703125" style="34" customWidth="1"/>
    <col min="226" max="227" width="9.140625" style="34"/>
    <col min="228" max="228" width="8.7109375" style="34" customWidth="1"/>
    <col min="229" max="474" width="9.140625" style="34"/>
    <col min="475" max="475" width="15.28515625" style="34" customWidth="1"/>
    <col min="476" max="476" width="10.140625" style="34" customWidth="1"/>
    <col min="477" max="477" width="7.28515625" style="34" customWidth="1"/>
    <col min="478" max="478" width="68.7109375" style="34" customWidth="1"/>
    <col min="479" max="479" width="15" style="34" customWidth="1"/>
    <col min="480" max="480" width="14.140625" style="34" bestFit="1" customWidth="1"/>
    <col min="481" max="481" width="16.5703125" style="34" customWidth="1"/>
    <col min="482" max="483" width="9.140625" style="34"/>
    <col min="484" max="484" width="8.7109375" style="34" customWidth="1"/>
    <col min="485" max="730" width="9.140625" style="34"/>
    <col min="731" max="731" width="15.28515625" style="34" customWidth="1"/>
    <col min="732" max="732" width="10.140625" style="34" customWidth="1"/>
    <col min="733" max="733" width="7.28515625" style="34" customWidth="1"/>
    <col min="734" max="734" width="68.7109375" style="34" customWidth="1"/>
    <col min="735" max="735" width="15" style="34" customWidth="1"/>
    <col min="736" max="736" width="14.140625" style="34" bestFit="1" customWidth="1"/>
    <col min="737" max="737" width="16.5703125" style="34" customWidth="1"/>
    <col min="738" max="739" width="9.140625" style="34"/>
    <col min="740" max="740" width="8.7109375" style="34" customWidth="1"/>
    <col min="741" max="986" width="9.140625" style="34"/>
    <col min="987" max="987" width="15.28515625" style="34" customWidth="1"/>
    <col min="988" max="988" width="10.140625" style="34" customWidth="1"/>
    <col min="989" max="989" width="7.28515625" style="34" customWidth="1"/>
    <col min="990" max="990" width="68.7109375" style="34" customWidth="1"/>
    <col min="991" max="991" width="15" style="34" customWidth="1"/>
    <col min="992" max="992" width="14.140625" style="34" bestFit="1" customWidth="1"/>
    <col min="993" max="993" width="16.5703125" style="34" customWidth="1"/>
    <col min="994" max="995" width="9.140625" style="34"/>
    <col min="996" max="996" width="8.7109375" style="34" customWidth="1"/>
    <col min="997" max="1242" width="9.140625" style="34"/>
    <col min="1243" max="1243" width="15.28515625" style="34" customWidth="1"/>
    <col min="1244" max="1244" width="10.140625" style="34" customWidth="1"/>
    <col min="1245" max="1245" width="7.28515625" style="34" customWidth="1"/>
    <col min="1246" max="1246" width="68.7109375" style="34" customWidth="1"/>
    <col min="1247" max="1247" width="15" style="34" customWidth="1"/>
    <col min="1248" max="1248" width="14.140625" style="34" bestFit="1" customWidth="1"/>
    <col min="1249" max="1249" width="16.5703125" style="34" customWidth="1"/>
    <col min="1250" max="1251" width="9.140625" style="34"/>
    <col min="1252" max="1252" width="8.7109375" style="34" customWidth="1"/>
    <col min="1253" max="1498" width="9.140625" style="34"/>
    <col min="1499" max="1499" width="15.28515625" style="34" customWidth="1"/>
    <col min="1500" max="1500" width="10.140625" style="34" customWidth="1"/>
    <col min="1501" max="1501" width="7.28515625" style="34" customWidth="1"/>
    <col min="1502" max="1502" width="68.7109375" style="34" customWidth="1"/>
    <col min="1503" max="1503" width="15" style="34" customWidth="1"/>
    <col min="1504" max="1504" width="14.140625" style="34" bestFit="1" customWidth="1"/>
    <col min="1505" max="1505" width="16.5703125" style="34" customWidth="1"/>
    <col min="1506" max="1507" width="9.140625" style="34"/>
    <col min="1508" max="1508" width="8.7109375" style="34" customWidth="1"/>
    <col min="1509" max="1754" width="9.140625" style="34"/>
    <col min="1755" max="1755" width="15.28515625" style="34" customWidth="1"/>
    <col min="1756" max="1756" width="10.140625" style="34" customWidth="1"/>
    <col min="1757" max="1757" width="7.28515625" style="34" customWidth="1"/>
    <col min="1758" max="1758" width="68.7109375" style="34" customWidth="1"/>
    <col min="1759" max="1759" width="15" style="34" customWidth="1"/>
    <col min="1760" max="1760" width="14.140625" style="34" bestFit="1" customWidth="1"/>
    <col min="1761" max="1761" width="16.5703125" style="34" customWidth="1"/>
    <col min="1762" max="1763" width="9.140625" style="34"/>
    <col min="1764" max="1764" width="8.7109375" style="34" customWidth="1"/>
    <col min="1765" max="2010" width="9.140625" style="34"/>
    <col min="2011" max="2011" width="15.28515625" style="34" customWidth="1"/>
    <col min="2012" max="2012" width="10.140625" style="34" customWidth="1"/>
    <col min="2013" max="2013" width="7.28515625" style="34" customWidth="1"/>
    <col min="2014" max="2014" width="68.7109375" style="34" customWidth="1"/>
    <col min="2015" max="2015" width="15" style="34" customWidth="1"/>
    <col min="2016" max="2016" width="14.140625" style="34" bestFit="1" customWidth="1"/>
    <col min="2017" max="2017" width="16.5703125" style="34" customWidth="1"/>
    <col min="2018" max="2019" width="9.140625" style="34"/>
    <col min="2020" max="2020" width="8.7109375" style="34" customWidth="1"/>
    <col min="2021" max="2266" width="9.140625" style="34"/>
    <col min="2267" max="2267" width="15.28515625" style="34" customWidth="1"/>
    <col min="2268" max="2268" width="10.140625" style="34" customWidth="1"/>
    <col min="2269" max="2269" width="7.28515625" style="34" customWidth="1"/>
    <col min="2270" max="2270" width="68.7109375" style="34" customWidth="1"/>
    <col min="2271" max="2271" width="15" style="34" customWidth="1"/>
    <col min="2272" max="2272" width="14.140625" style="34" bestFit="1" customWidth="1"/>
    <col min="2273" max="2273" width="16.5703125" style="34" customWidth="1"/>
    <col min="2274" max="2275" width="9.140625" style="34"/>
    <col min="2276" max="2276" width="8.7109375" style="34" customWidth="1"/>
    <col min="2277" max="2522" width="9.140625" style="34"/>
    <col min="2523" max="2523" width="15.28515625" style="34" customWidth="1"/>
    <col min="2524" max="2524" width="10.140625" style="34" customWidth="1"/>
    <col min="2525" max="2525" width="7.28515625" style="34" customWidth="1"/>
    <col min="2526" max="2526" width="68.7109375" style="34" customWidth="1"/>
    <col min="2527" max="2527" width="15" style="34" customWidth="1"/>
    <col min="2528" max="2528" width="14.140625" style="34" bestFit="1" customWidth="1"/>
    <col min="2529" max="2529" width="16.5703125" style="34" customWidth="1"/>
    <col min="2530" max="2531" width="9.140625" style="34"/>
    <col min="2532" max="2532" width="8.7109375" style="34" customWidth="1"/>
    <col min="2533" max="2778" width="9.140625" style="34"/>
    <col min="2779" max="2779" width="15.28515625" style="34" customWidth="1"/>
    <col min="2780" max="2780" width="10.140625" style="34" customWidth="1"/>
    <col min="2781" max="2781" width="7.28515625" style="34" customWidth="1"/>
    <col min="2782" max="2782" width="68.7109375" style="34" customWidth="1"/>
    <col min="2783" max="2783" width="15" style="34" customWidth="1"/>
    <col min="2784" max="2784" width="14.140625" style="34" bestFit="1" customWidth="1"/>
    <col min="2785" max="2785" width="16.5703125" style="34" customWidth="1"/>
    <col min="2786" max="2787" width="9.140625" style="34"/>
    <col min="2788" max="2788" width="8.7109375" style="34" customWidth="1"/>
    <col min="2789" max="3034" width="9.140625" style="34"/>
    <col min="3035" max="3035" width="15.28515625" style="34" customWidth="1"/>
    <col min="3036" max="3036" width="10.140625" style="34" customWidth="1"/>
    <col min="3037" max="3037" width="7.28515625" style="34" customWidth="1"/>
    <col min="3038" max="3038" width="68.7109375" style="34" customWidth="1"/>
    <col min="3039" max="3039" width="15" style="34" customWidth="1"/>
    <col min="3040" max="3040" width="14.140625" style="34" bestFit="1" customWidth="1"/>
    <col min="3041" max="3041" width="16.5703125" style="34" customWidth="1"/>
    <col min="3042" max="3043" width="9.140625" style="34"/>
    <col min="3044" max="3044" width="8.7109375" style="34" customWidth="1"/>
    <col min="3045" max="3290" width="9.140625" style="34"/>
    <col min="3291" max="3291" width="15.28515625" style="34" customWidth="1"/>
    <col min="3292" max="3292" width="10.140625" style="34" customWidth="1"/>
    <col min="3293" max="3293" width="7.28515625" style="34" customWidth="1"/>
    <col min="3294" max="3294" width="68.7109375" style="34" customWidth="1"/>
    <col min="3295" max="3295" width="15" style="34" customWidth="1"/>
    <col min="3296" max="3296" width="14.140625" style="34" bestFit="1" customWidth="1"/>
    <col min="3297" max="3297" width="16.5703125" style="34" customWidth="1"/>
    <col min="3298" max="3299" width="9.140625" style="34"/>
    <col min="3300" max="3300" width="8.7109375" style="34" customWidth="1"/>
    <col min="3301" max="3546" width="9.140625" style="34"/>
    <col min="3547" max="3547" width="15.28515625" style="34" customWidth="1"/>
    <col min="3548" max="3548" width="10.140625" style="34" customWidth="1"/>
    <col min="3549" max="3549" width="7.28515625" style="34" customWidth="1"/>
    <col min="3550" max="3550" width="68.7109375" style="34" customWidth="1"/>
    <col min="3551" max="3551" width="15" style="34" customWidth="1"/>
    <col min="3552" max="3552" width="14.140625" style="34" bestFit="1" customWidth="1"/>
    <col min="3553" max="3553" width="16.5703125" style="34" customWidth="1"/>
    <col min="3554" max="3555" width="9.140625" style="34"/>
    <col min="3556" max="3556" width="8.7109375" style="34" customWidth="1"/>
    <col min="3557" max="3802" width="9.140625" style="34"/>
    <col min="3803" max="3803" width="15.28515625" style="34" customWidth="1"/>
    <col min="3804" max="3804" width="10.140625" style="34" customWidth="1"/>
    <col min="3805" max="3805" width="7.28515625" style="34" customWidth="1"/>
    <col min="3806" max="3806" width="68.7109375" style="34" customWidth="1"/>
    <col min="3807" max="3807" width="15" style="34" customWidth="1"/>
    <col min="3808" max="3808" width="14.140625" style="34" bestFit="1" customWidth="1"/>
    <col min="3809" max="3809" width="16.5703125" style="34" customWidth="1"/>
    <col min="3810" max="3811" width="9.140625" style="34"/>
    <col min="3812" max="3812" width="8.7109375" style="34" customWidth="1"/>
    <col min="3813" max="4058" width="9.140625" style="34"/>
    <col min="4059" max="4059" width="15.28515625" style="34" customWidth="1"/>
    <col min="4060" max="4060" width="10.140625" style="34" customWidth="1"/>
    <col min="4061" max="4061" width="7.28515625" style="34" customWidth="1"/>
    <col min="4062" max="4062" width="68.7109375" style="34" customWidth="1"/>
    <col min="4063" max="4063" width="15" style="34" customWidth="1"/>
    <col min="4064" max="4064" width="14.140625" style="34" bestFit="1" customWidth="1"/>
    <col min="4065" max="4065" width="16.5703125" style="34" customWidth="1"/>
    <col min="4066" max="4067" width="9.140625" style="34"/>
    <col min="4068" max="4068" width="8.7109375" style="34" customWidth="1"/>
    <col min="4069" max="4314" width="9.140625" style="34"/>
    <col min="4315" max="4315" width="15.28515625" style="34" customWidth="1"/>
    <col min="4316" max="4316" width="10.140625" style="34" customWidth="1"/>
    <col min="4317" max="4317" width="7.28515625" style="34" customWidth="1"/>
    <col min="4318" max="4318" width="68.7109375" style="34" customWidth="1"/>
    <col min="4319" max="4319" width="15" style="34" customWidth="1"/>
    <col min="4320" max="4320" width="14.140625" style="34" bestFit="1" customWidth="1"/>
    <col min="4321" max="4321" width="16.5703125" style="34" customWidth="1"/>
    <col min="4322" max="4323" width="9.140625" style="34"/>
    <col min="4324" max="4324" width="8.7109375" style="34" customWidth="1"/>
    <col min="4325" max="4570" width="9.140625" style="34"/>
    <col min="4571" max="4571" width="15.28515625" style="34" customWidth="1"/>
    <col min="4572" max="4572" width="10.140625" style="34" customWidth="1"/>
    <col min="4573" max="4573" width="7.28515625" style="34" customWidth="1"/>
    <col min="4574" max="4574" width="68.7109375" style="34" customWidth="1"/>
    <col min="4575" max="4575" width="15" style="34" customWidth="1"/>
    <col min="4576" max="4576" width="14.140625" style="34" bestFit="1" customWidth="1"/>
    <col min="4577" max="4577" width="16.5703125" style="34" customWidth="1"/>
    <col min="4578" max="4579" width="9.140625" style="34"/>
    <col min="4580" max="4580" width="8.7109375" style="34" customWidth="1"/>
    <col min="4581" max="4826" width="9.140625" style="34"/>
    <col min="4827" max="4827" width="15.28515625" style="34" customWidth="1"/>
    <col min="4828" max="4828" width="10.140625" style="34" customWidth="1"/>
    <col min="4829" max="4829" width="7.28515625" style="34" customWidth="1"/>
    <col min="4830" max="4830" width="68.7109375" style="34" customWidth="1"/>
    <col min="4831" max="4831" width="15" style="34" customWidth="1"/>
    <col min="4832" max="4832" width="14.140625" style="34" bestFit="1" customWidth="1"/>
    <col min="4833" max="4833" width="16.5703125" style="34" customWidth="1"/>
    <col min="4834" max="4835" width="9.140625" style="34"/>
    <col min="4836" max="4836" width="8.7109375" style="34" customWidth="1"/>
    <col min="4837" max="5082" width="9.140625" style="34"/>
    <col min="5083" max="5083" width="15.28515625" style="34" customWidth="1"/>
    <col min="5084" max="5084" width="10.140625" style="34" customWidth="1"/>
    <col min="5085" max="5085" width="7.28515625" style="34" customWidth="1"/>
    <col min="5086" max="5086" width="68.7109375" style="34" customWidth="1"/>
    <col min="5087" max="5087" width="15" style="34" customWidth="1"/>
    <col min="5088" max="5088" width="14.140625" style="34" bestFit="1" customWidth="1"/>
    <col min="5089" max="5089" width="16.5703125" style="34" customWidth="1"/>
    <col min="5090" max="5091" width="9.140625" style="34"/>
    <col min="5092" max="5092" width="8.7109375" style="34" customWidth="1"/>
    <col min="5093" max="5338" width="9.140625" style="34"/>
    <col min="5339" max="5339" width="15.28515625" style="34" customWidth="1"/>
    <col min="5340" max="5340" width="10.140625" style="34" customWidth="1"/>
    <col min="5341" max="5341" width="7.28515625" style="34" customWidth="1"/>
    <col min="5342" max="5342" width="68.7109375" style="34" customWidth="1"/>
    <col min="5343" max="5343" width="15" style="34" customWidth="1"/>
    <col min="5344" max="5344" width="14.140625" style="34" bestFit="1" customWidth="1"/>
    <col min="5345" max="5345" width="16.5703125" style="34" customWidth="1"/>
    <col min="5346" max="5347" width="9.140625" style="34"/>
    <col min="5348" max="5348" width="8.7109375" style="34" customWidth="1"/>
    <col min="5349" max="5594" width="9.140625" style="34"/>
    <col min="5595" max="5595" width="15.28515625" style="34" customWidth="1"/>
    <col min="5596" max="5596" width="10.140625" style="34" customWidth="1"/>
    <col min="5597" max="5597" width="7.28515625" style="34" customWidth="1"/>
    <col min="5598" max="5598" width="68.7109375" style="34" customWidth="1"/>
    <col min="5599" max="5599" width="15" style="34" customWidth="1"/>
    <col min="5600" max="5600" width="14.140625" style="34" bestFit="1" customWidth="1"/>
    <col min="5601" max="5601" width="16.5703125" style="34" customWidth="1"/>
    <col min="5602" max="5603" width="9.140625" style="34"/>
    <col min="5604" max="5604" width="8.7109375" style="34" customWidth="1"/>
    <col min="5605" max="5850" width="9.140625" style="34"/>
    <col min="5851" max="5851" width="15.28515625" style="34" customWidth="1"/>
    <col min="5852" max="5852" width="10.140625" style="34" customWidth="1"/>
    <col min="5853" max="5853" width="7.28515625" style="34" customWidth="1"/>
    <col min="5854" max="5854" width="68.7109375" style="34" customWidth="1"/>
    <col min="5855" max="5855" width="15" style="34" customWidth="1"/>
    <col min="5856" max="5856" width="14.140625" style="34" bestFit="1" customWidth="1"/>
    <col min="5857" max="5857" width="16.5703125" style="34" customWidth="1"/>
    <col min="5858" max="5859" width="9.140625" style="34"/>
    <col min="5860" max="5860" width="8.7109375" style="34" customWidth="1"/>
    <col min="5861" max="6106" width="9.140625" style="34"/>
    <col min="6107" max="6107" width="15.28515625" style="34" customWidth="1"/>
    <col min="6108" max="6108" width="10.140625" style="34" customWidth="1"/>
    <col min="6109" max="6109" width="7.28515625" style="34" customWidth="1"/>
    <col min="6110" max="6110" width="68.7109375" style="34" customWidth="1"/>
    <col min="6111" max="6111" width="15" style="34" customWidth="1"/>
    <col min="6112" max="6112" width="14.140625" style="34" bestFit="1" customWidth="1"/>
    <col min="6113" max="6113" width="16.5703125" style="34" customWidth="1"/>
    <col min="6114" max="6115" width="9.140625" style="34"/>
    <col min="6116" max="6116" width="8.7109375" style="34" customWidth="1"/>
    <col min="6117" max="6362" width="9.140625" style="34"/>
    <col min="6363" max="6363" width="15.28515625" style="34" customWidth="1"/>
    <col min="6364" max="6364" width="10.140625" style="34" customWidth="1"/>
    <col min="6365" max="6365" width="7.28515625" style="34" customWidth="1"/>
    <col min="6366" max="6366" width="68.7109375" style="34" customWidth="1"/>
    <col min="6367" max="6367" width="15" style="34" customWidth="1"/>
    <col min="6368" max="6368" width="14.140625" style="34" bestFit="1" customWidth="1"/>
    <col min="6369" max="6369" width="16.5703125" style="34" customWidth="1"/>
    <col min="6370" max="6371" width="9.140625" style="34"/>
    <col min="6372" max="6372" width="8.7109375" style="34" customWidth="1"/>
    <col min="6373" max="6618" width="9.140625" style="34"/>
    <col min="6619" max="6619" width="15.28515625" style="34" customWidth="1"/>
    <col min="6620" max="6620" width="10.140625" style="34" customWidth="1"/>
    <col min="6621" max="6621" width="7.28515625" style="34" customWidth="1"/>
    <col min="6622" max="6622" width="68.7109375" style="34" customWidth="1"/>
    <col min="6623" max="6623" width="15" style="34" customWidth="1"/>
    <col min="6624" max="6624" width="14.140625" style="34" bestFit="1" customWidth="1"/>
    <col min="6625" max="6625" width="16.5703125" style="34" customWidth="1"/>
    <col min="6626" max="6627" width="9.140625" style="34"/>
    <col min="6628" max="6628" width="8.7109375" style="34" customWidth="1"/>
    <col min="6629" max="6874" width="9.140625" style="34"/>
    <col min="6875" max="6875" width="15.28515625" style="34" customWidth="1"/>
    <col min="6876" max="6876" width="10.140625" style="34" customWidth="1"/>
    <col min="6877" max="6877" width="7.28515625" style="34" customWidth="1"/>
    <col min="6878" max="6878" width="68.7109375" style="34" customWidth="1"/>
    <col min="6879" max="6879" width="15" style="34" customWidth="1"/>
    <col min="6880" max="6880" width="14.140625" style="34" bestFit="1" customWidth="1"/>
    <col min="6881" max="6881" width="16.5703125" style="34" customWidth="1"/>
    <col min="6882" max="6883" width="9.140625" style="34"/>
    <col min="6884" max="6884" width="8.7109375" style="34" customWidth="1"/>
    <col min="6885" max="7130" width="9.140625" style="34"/>
    <col min="7131" max="7131" width="15.28515625" style="34" customWidth="1"/>
    <col min="7132" max="7132" width="10.140625" style="34" customWidth="1"/>
    <col min="7133" max="7133" width="7.28515625" style="34" customWidth="1"/>
    <col min="7134" max="7134" width="68.7109375" style="34" customWidth="1"/>
    <col min="7135" max="7135" width="15" style="34" customWidth="1"/>
    <col min="7136" max="7136" width="14.140625" style="34" bestFit="1" customWidth="1"/>
    <col min="7137" max="7137" width="16.5703125" style="34" customWidth="1"/>
    <col min="7138" max="7139" width="9.140625" style="34"/>
    <col min="7140" max="7140" width="8.7109375" style="34" customWidth="1"/>
    <col min="7141" max="7386" width="9.140625" style="34"/>
    <col min="7387" max="7387" width="15.28515625" style="34" customWidth="1"/>
    <col min="7388" max="7388" width="10.140625" style="34" customWidth="1"/>
    <col min="7389" max="7389" width="7.28515625" style="34" customWidth="1"/>
    <col min="7390" max="7390" width="68.7109375" style="34" customWidth="1"/>
    <col min="7391" max="7391" width="15" style="34" customWidth="1"/>
    <col min="7392" max="7392" width="14.140625" style="34" bestFit="1" customWidth="1"/>
    <col min="7393" max="7393" width="16.5703125" style="34" customWidth="1"/>
    <col min="7394" max="7395" width="9.140625" style="34"/>
    <col min="7396" max="7396" width="8.7109375" style="34" customWidth="1"/>
    <col min="7397" max="7642" width="9.140625" style="34"/>
    <col min="7643" max="7643" width="15.28515625" style="34" customWidth="1"/>
    <col min="7644" max="7644" width="10.140625" style="34" customWidth="1"/>
    <col min="7645" max="7645" width="7.28515625" style="34" customWidth="1"/>
    <col min="7646" max="7646" width="68.7109375" style="34" customWidth="1"/>
    <col min="7647" max="7647" width="15" style="34" customWidth="1"/>
    <col min="7648" max="7648" width="14.140625" style="34" bestFit="1" customWidth="1"/>
    <col min="7649" max="7649" width="16.5703125" style="34" customWidth="1"/>
    <col min="7650" max="7651" width="9.140625" style="34"/>
    <col min="7652" max="7652" width="8.7109375" style="34" customWidth="1"/>
    <col min="7653" max="7898" width="9.140625" style="34"/>
    <col min="7899" max="7899" width="15.28515625" style="34" customWidth="1"/>
    <col min="7900" max="7900" width="10.140625" style="34" customWidth="1"/>
    <col min="7901" max="7901" width="7.28515625" style="34" customWidth="1"/>
    <col min="7902" max="7902" width="68.7109375" style="34" customWidth="1"/>
    <col min="7903" max="7903" width="15" style="34" customWidth="1"/>
    <col min="7904" max="7904" width="14.140625" style="34" bestFit="1" customWidth="1"/>
    <col min="7905" max="7905" width="16.5703125" style="34" customWidth="1"/>
    <col min="7906" max="7907" width="9.140625" style="34"/>
    <col min="7908" max="7908" width="8.7109375" style="34" customWidth="1"/>
    <col min="7909" max="8154" width="9.140625" style="34"/>
    <col min="8155" max="8155" width="15.28515625" style="34" customWidth="1"/>
    <col min="8156" max="8156" width="10.140625" style="34" customWidth="1"/>
    <col min="8157" max="8157" width="7.28515625" style="34" customWidth="1"/>
    <col min="8158" max="8158" width="68.7109375" style="34" customWidth="1"/>
    <col min="8159" max="8159" width="15" style="34" customWidth="1"/>
    <col min="8160" max="8160" width="14.140625" style="34" bestFit="1" customWidth="1"/>
    <col min="8161" max="8161" width="16.5703125" style="34" customWidth="1"/>
    <col min="8162" max="8163" width="9.140625" style="34"/>
    <col min="8164" max="8164" width="8.7109375" style="34" customWidth="1"/>
    <col min="8165" max="8410" width="9.140625" style="34"/>
    <col min="8411" max="8411" width="15.28515625" style="34" customWidth="1"/>
    <col min="8412" max="8412" width="10.140625" style="34" customWidth="1"/>
    <col min="8413" max="8413" width="7.28515625" style="34" customWidth="1"/>
    <col min="8414" max="8414" width="68.7109375" style="34" customWidth="1"/>
    <col min="8415" max="8415" width="15" style="34" customWidth="1"/>
    <col min="8416" max="8416" width="14.140625" style="34" bestFit="1" customWidth="1"/>
    <col min="8417" max="8417" width="16.5703125" style="34" customWidth="1"/>
    <col min="8418" max="8419" width="9.140625" style="34"/>
    <col min="8420" max="8420" width="8.7109375" style="34" customWidth="1"/>
    <col min="8421" max="8666" width="9.140625" style="34"/>
    <col min="8667" max="8667" width="15.28515625" style="34" customWidth="1"/>
    <col min="8668" max="8668" width="10.140625" style="34" customWidth="1"/>
    <col min="8669" max="8669" width="7.28515625" style="34" customWidth="1"/>
    <col min="8670" max="8670" width="68.7109375" style="34" customWidth="1"/>
    <col min="8671" max="8671" width="15" style="34" customWidth="1"/>
    <col min="8672" max="8672" width="14.140625" style="34" bestFit="1" customWidth="1"/>
    <col min="8673" max="8673" width="16.5703125" style="34" customWidth="1"/>
    <col min="8674" max="8675" width="9.140625" style="34"/>
    <col min="8676" max="8676" width="8.7109375" style="34" customWidth="1"/>
    <col min="8677" max="8922" width="9.140625" style="34"/>
    <col min="8923" max="8923" width="15.28515625" style="34" customWidth="1"/>
    <col min="8924" max="8924" width="10.140625" style="34" customWidth="1"/>
    <col min="8925" max="8925" width="7.28515625" style="34" customWidth="1"/>
    <col min="8926" max="8926" width="68.7109375" style="34" customWidth="1"/>
    <col min="8927" max="8927" width="15" style="34" customWidth="1"/>
    <col min="8928" max="8928" width="14.140625" style="34" bestFit="1" customWidth="1"/>
    <col min="8929" max="8929" width="16.5703125" style="34" customWidth="1"/>
    <col min="8930" max="8931" width="9.140625" style="34"/>
    <col min="8932" max="8932" width="8.7109375" style="34" customWidth="1"/>
    <col min="8933" max="9178" width="9.140625" style="34"/>
    <col min="9179" max="9179" width="15.28515625" style="34" customWidth="1"/>
    <col min="9180" max="9180" width="10.140625" style="34" customWidth="1"/>
    <col min="9181" max="9181" width="7.28515625" style="34" customWidth="1"/>
    <col min="9182" max="9182" width="68.7109375" style="34" customWidth="1"/>
    <col min="9183" max="9183" width="15" style="34" customWidth="1"/>
    <col min="9184" max="9184" width="14.140625" style="34" bestFit="1" customWidth="1"/>
    <col min="9185" max="9185" width="16.5703125" style="34" customWidth="1"/>
    <col min="9186" max="9187" width="9.140625" style="34"/>
    <col min="9188" max="9188" width="8.7109375" style="34" customWidth="1"/>
    <col min="9189" max="9434" width="9.140625" style="34"/>
    <col min="9435" max="9435" width="15.28515625" style="34" customWidth="1"/>
    <col min="9436" max="9436" width="10.140625" style="34" customWidth="1"/>
    <col min="9437" max="9437" width="7.28515625" style="34" customWidth="1"/>
    <col min="9438" max="9438" width="68.7109375" style="34" customWidth="1"/>
    <col min="9439" max="9439" width="15" style="34" customWidth="1"/>
    <col min="9440" max="9440" width="14.140625" style="34" bestFit="1" customWidth="1"/>
    <col min="9441" max="9441" width="16.5703125" style="34" customWidth="1"/>
    <col min="9442" max="9443" width="9.140625" style="34"/>
    <col min="9444" max="9444" width="8.7109375" style="34" customWidth="1"/>
    <col min="9445" max="9690" width="9.140625" style="34"/>
    <col min="9691" max="9691" width="15.28515625" style="34" customWidth="1"/>
    <col min="9692" max="9692" width="10.140625" style="34" customWidth="1"/>
    <col min="9693" max="9693" width="7.28515625" style="34" customWidth="1"/>
    <col min="9694" max="9694" width="68.7109375" style="34" customWidth="1"/>
    <col min="9695" max="9695" width="15" style="34" customWidth="1"/>
    <col min="9696" max="9696" width="14.140625" style="34" bestFit="1" customWidth="1"/>
    <col min="9697" max="9697" width="16.5703125" style="34" customWidth="1"/>
    <col min="9698" max="9699" width="9.140625" style="34"/>
    <col min="9700" max="9700" width="8.7109375" style="34" customWidth="1"/>
    <col min="9701" max="9946" width="9.140625" style="34"/>
    <col min="9947" max="9947" width="15.28515625" style="34" customWidth="1"/>
    <col min="9948" max="9948" width="10.140625" style="34" customWidth="1"/>
    <col min="9949" max="9949" width="7.28515625" style="34" customWidth="1"/>
    <col min="9950" max="9950" width="68.7109375" style="34" customWidth="1"/>
    <col min="9951" max="9951" width="15" style="34" customWidth="1"/>
    <col min="9952" max="9952" width="14.140625" style="34" bestFit="1" customWidth="1"/>
    <col min="9953" max="9953" width="16.5703125" style="34" customWidth="1"/>
    <col min="9954" max="9955" width="9.140625" style="34"/>
    <col min="9956" max="9956" width="8.7109375" style="34" customWidth="1"/>
    <col min="9957" max="10202" width="9.140625" style="34"/>
    <col min="10203" max="10203" width="15.28515625" style="34" customWidth="1"/>
    <col min="10204" max="10204" width="10.140625" style="34" customWidth="1"/>
    <col min="10205" max="10205" width="7.28515625" style="34" customWidth="1"/>
    <col min="10206" max="10206" width="68.7109375" style="34" customWidth="1"/>
    <col min="10207" max="10207" width="15" style="34" customWidth="1"/>
    <col min="10208" max="10208" width="14.140625" style="34" bestFit="1" customWidth="1"/>
    <col min="10209" max="10209" width="16.5703125" style="34" customWidth="1"/>
    <col min="10210" max="10211" width="9.140625" style="34"/>
    <col min="10212" max="10212" width="8.7109375" style="34" customWidth="1"/>
    <col min="10213" max="10458" width="9.140625" style="34"/>
    <col min="10459" max="10459" width="15.28515625" style="34" customWidth="1"/>
    <col min="10460" max="10460" width="10.140625" style="34" customWidth="1"/>
    <col min="10461" max="10461" width="7.28515625" style="34" customWidth="1"/>
    <col min="10462" max="10462" width="68.7109375" style="34" customWidth="1"/>
    <col min="10463" max="10463" width="15" style="34" customWidth="1"/>
    <col min="10464" max="10464" width="14.140625" style="34" bestFit="1" customWidth="1"/>
    <col min="10465" max="10465" width="16.5703125" style="34" customWidth="1"/>
    <col min="10466" max="10467" width="9.140625" style="34"/>
    <col min="10468" max="10468" width="8.7109375" style="34" customWidth="1"/>
    <col min="10469" max="10714" width="9.140625" style="34"/>
    <col min="10715" max="10715" width="15.28515625" style="34" customWidth="1"/>
    <col min="10716" max="10716" width="10.140625" style="34" customWidth="1"/>
    <col min="10717" max="10717" width="7.28515625" style="34" customWidth="1"/>
    <col min="10718" max="10718" width="68.7109375" style="34" customWidth="1"/>
    <col min="10719" max="10719" width="15" style="34" customWidth="1"/>
    <col min="10720" max="10720" width="14.140625" style="34" bestFit="1" customWidth="1"/>
    <col min="10721" max="10721" width="16.5703125" style="34" customWidth="1"/>
    <col min="10722" max="10723" width="9.140625" style="34"/>
    <col min="10724" max="10724" width="8.7109375" style="34" customWidth="1"/>
    <col min="10725" max="10970" width="9.140625" style="34"/>
    <col min="10971" max="10971" width="15.28515625" style="34" customWidth="1"/>
    <col min="10972" max="10972" width="10.140625" style="34" customWidth="1"/>
    <col min="10973" max="10973" width="7.28515625" style="34" customWidth="1"/>
    <col min="10974" max="10974" width="68.7109375" style="34" customWidth="1"/>
    <col min="10975" max="10975" width="15" style="34" customWidth="1"/>
    <col min="10976" max="10976" width="14.140625" style="34" bestFit="1" customWidth="1"/>
    <col min="10977" max="10977" width="16.5703125" style="34" customWidth="1"/>
    <col min="10978" max="10979" width="9.140625" style="34"/>
    <col min="10980" max="10980" width="8.7109375" style="34" customWidth="1"/>
    <col min="10981" max="11226" width="9.140625" style="34"/>
    <col min="11227" max="11227" width="15.28515625" style="34" customWidth="1"/>
    <col min="11228" max="11228" width="10.140625" style="34" customWidth="1"/>
    <col min="11229" max="11229" width="7.28515625" style="34" customWidth="1"/>
    <col min="11230" max="11230" width="68.7109375" style="34" customWidth="1"/>
    <col min="11231" max="11231" width="15" style="34" customWidth="1"/>
    <col min="11232" max="11232" width="14.140625" style="34" bestFit="1" customWidth="1"/>
    <col min="11233" max="11233" width="16.5703125" style="34" customWidth="1"/>
    <col min="11234" max="11235" width="9.140625" style="34"/>
    <col min="11236" max="11236" width="8.7109375" style="34" customWidth="1"/>
    <col min="11237" max="11482" width="9.140625" style="34"/>
    <col min="11483" max="11483" width="15.28515625" style="34" customWidth="1"/>
    <col min="11484" max="11484" width="10.140625" style="34" customWidth="1"/>
    <col min="11485" max="11485" width="7.28515625" style="34" customWidth="1"/>
    <col min="11486" max="11486" width="68.7109375" style="34" customWidth="1"/>
    <col min="11487" max="11487" width="15" style="34" customWidth="1"/>
    <col min="11488" max="11488" width="14.140625" style="34" bestFit="1" customWidth="1"/>
    <col min="11489" max="11489" width="16.5703125" style="34" customWidth="1"/>
    <col min="11490" max="11491" width="9.140625" style="34"/>
    <col min="11492" max="11492" width="8.7109375" style="34" customWidth="1"/>
    <col min="11493" max="11738" width="9.140625" style="34"/>
    <col min="11739" max="11739" width="15.28515625" style="34" customWidth="1"/>
    <col min="11740" max="11740" width="10.140625" style="34" customWidth="1"/>
    <col min="11741" max="11741" width="7.28515625" style="34" customWidth="1"/>
    <col min="11742" max="11742" width="68.7109375" style="34" customWidth="1"/>
    <col min="11743" max="11743" width="15" style="34" customWidth="1"/>
    <col min="11744" max="11744" width="14.140625" style="34" bestFit="1" customWidth="1"/>
    <col min="11745" max="11745" width="16.5703125" style="34" customWidth="1"/>
    <col min="11746" max="11747" width="9.140625" style="34"/>
    <col min="11748" max="11748" width="8.7109375" style="34" customWidth="1"/>
    <col min="11749" max="11994" width="9.140625" style="34"/>
    <col min="11995" max="11995" width="15.28515625" style="34" customWidth="1"/>
    <col min="11996" max="11996" width="10.140625" style="34" customWidth="1"/>
    <col min="11997" max="11997" width="7.28515625" style="34" customWidth="1"/>
    <col min="11998" max="11998" width="68.7109375" style="34" customWidth="1"/>
    <col min="11999" max="11999" width="15" style="34" customWidth="1"/>
    <col min="12000" max="12000" width="14.140625" style="34" bestFit="1" customWidth="1"/>
    <col min="12001" max="12001" width="16.5703125" style="34" customWidth="1"/>
    <col min="12002" max="12003" width="9.140625" style="34"/>
    <col min="12004" max="12004" width="8.7109375" style="34" customWidth="1"/>
    <col min="12005" max="12250" width="9.140625" style="34"/>
    <col min="12251" max="12251" width="15.28515625" style="34" customWidth="1"/>
    <col min="12252" max="12252" width="10.140625" style="34" customWidth="1"/>
    <col min="12253" max="12253" width="7.28515625" style="34" customWidth="1"/>
    <col min="12254" max="12254" width="68.7109375" style="34" customWidth="1"/>
    <col min="12255" max="12255" width="15" style="34" customWidth="1"/>
    <col min="12256" max="12256" width="14.140625" style="34" bestFit="1" customWidth="1"/>
    <col min="12257" max="12257" width="16.5703125" style="34" customWidth="1"/>
    <col min="12258" max="12259" width="9.140625" style="34"/>
    <col min="12260" max="12260" width="8.7109375" style="34" customWidth="1"/>
    <col min="12261" max="12506" width="9.140625" style="34"/>
    <col min="12507" max="12507" width="15.28515625" style="34" customWidth="1"/>
    <col min="12508" max="12508" width="10.140625" style="34" customWidth="1"/>
    <col min="12509" max="12509" width="7.28515625" style="34" customWidth="1"/>
    <col min="12510" max="12510" width="68.7109375" style="34" customWidth="1"/>
    <col min="12511" max="12511" width="15" style="34" customWidth="1"/>
    <col min="12512" max="12512" width="14.140625" style="34" bestFit="1" customWidth="1"/>
    <col min="12513" max="12513" width="16.5703125" style="34" customWidth="1"/>
    <col min="12514" max="12515" width="9.140625" style="34"/>
    <col min="12516" max="12516" width="8.7109375" style="34" customWidth="1"/>
    <col min="12517" max="12762" width="9.140625" style="34"/>
    <col min="12763" max="12763" width="15.28515625" style="34" customWidth="1"/>
    <col min="12764" max="12764" width="10.140625" style="34" customWidth="1"/>
    <col min="12765" max="12765" width="7.28515625" style="34" customWidth="1"/>
    <col min="12766" max="12766" width="68.7109375" style="34" customWidth="1"/>
    <col min="12767" max="12767" width="15" style="34" customWidth="1"/>
    <col min="12768" max="12768" width="14.140625" style="34" bestFit="1" customWidth="1"/>
    <col min="12769" max="12769" width="16.5703125" style="34" customWidth="1"/>
    <col min="12770" max="12771" width="9.140625" style="34"/>
    <col min="12772" max="12772" width="8.7109375" style="34" customWidth="1"/>
    <col min="12773" max="13018" width="9.140625" style="34"/>
    <col min="13019" max="13019" width="15.28515625" style="34" customWidth="1"/>
    <col min="13020" max="13020" width="10.140625" style="34" customWidth="1"/>
    <col min="13021" max="13021" width="7.28515625" style="34" customWidth="1"/>
    <col min="13022" max="13022" width="68.7109375" style="34" customWidth="1"/>
    <col min="13023" max="13023" width="15" style="34" customWidth="1"/>
    <col min="13024" max="13024" width="14.140625" style="34" bestFit="1" customWidth="1"/>
    <col min="13025" max="13025" width="16.5703125" style="34" customWidth="1"/>
    <col min="13026" max="13027" width="9.140625" style="34"/>
    <col min="13028" max="13028" width="8.7109375" style="34" customWidth="1"/>
    <col min="13029" max="13274" width="9.140625" style="34"/>
    <col min="13275" max="13275" width="15.28515625" style="34" customWidth="1"/>
    <col min="13276" max="13276" width="10.140625" style="34" customWidth="1"/>
    <col min="13277" max="13277" width="7.28515625" style="34" customWidth="1"/>
    <col min="13278" max="13278" width="68.7109375" style="34" customWidth="1"/>
    <col min="13279" max="13279" width="15" style="34" customWidth="1"/>
    <col min="13280" max="13280" width="14.140625" style="34" bestFit="1" customWidth="1"/>
    <col min="13281" max="13281" width="16.5703125" style="34" customWidth="1"/>
    <col min="13282" max="13283" width="9.140625" style="34"/>
    <col min="13284" max="13284" width="8.7109375" style="34" customWidth="1"/>
    <col min="13285" max="13530" width="9.140625" style="34"/>
    <col min="13531" max="13531" width="15.28515625" style="34" customWidth="1"/>
    <col min="13532" max="13532" width="10.140625" style="34" customWidth="1"/>
    <col min="13533" max="13533" width="7.28515625" style="34" customWidth="1"/>
    <col min="13534" max="13534" width="68.7109375" style="34" customWidth="1"/>
    <col min="13535" max="13535" width="15" style="34" customWidth="1"/>
    <col min="13536" max="13536" width="14.140625" style="34" bestFit="1" customWidth="1"/>
    <col min="13537" max="13537" width="16.5703125" style="34" customWidth="1"/>
    <col min="13538" max="13539" width="9.140625" style="34"/>
    <col min="13540" max="13540" width="8.7109375" style="34" customWidth="1"/>
    <col min="13541" max="13786" width="9.140625" style="34"/>
    <col min="13787" max="13787" width="15.28515625" style="34" customWidth="1"/>
    <col min="13788" max="13788" width="10.140625" style="34" customWidth="1"/>
    <col min="13789" max="13789" width="7.28515625" style="34" customWidth="1"/>
    <col min="13790" max="13790" width="68.7109375" style="34" customWidth="1"/>
    <col min="13791" max="13791" width="15" style="34" customWidth="1"/>
    <col min="13792" max="13792" width="14.140625" style="34" bestFit="1" customWidth="1"/>
    <col min="13793" max="13793" width="16.5703125" style="34" customWidth="1"/>
    <col min="13794" max="13795" width="9.140625" style="34"/>
    <col min="13796" max="13796" width="8.7109375" style="34" customWidth="1"/>
    <col min="13797" max="14042" width="9.140625" style="34"/>
    <col min="14043" max="14043" width="15.28515625" style="34" customWidth="1"/>
    <col min="14044" max="14044" width="10.140625" style="34" customWidth="1"/>
    <col min="14045" max="14045" width="7.28515625" style="34" customWidth="1"/>
    <col min="14046" max="14046" width="68.7109375" style="34" customWidth="1"/>
    <col min="14047" max="14047" width="15" style="34" customWidth="1"/>
    <col min="14048" max="14048" width="14.140625" style="34" bestFit="1" customWidth="1"/>
    <col min="14049" max="14049" width="16.5703125" style="34" customWidth="1"/>
    <col min="14050" max="14051" width="9.140625" style="34"/>
    <col min="14052" max="14052" width="8.7109375" style="34" customWidth="1"/>
    <col min="14053" max="14298" width="9.140625" style="34"/>
    <col min="14299" max="14299" width="15.28515625" style="34" customWidth="1"/>
    <col min="14300" max="14300" width="10.140625" style="34" customWidth="1"/>
    <col min="14301" max="14301" width="7.28515625" style="34" customWidth="1"/>
    <col min="14302" max="14302" width="68.7109375" style="34" customWidth="1"/>
    <col min="14303" max="14303" width="15" style="34" customWidth="1"/>
    <col min="14304" max="14304" width="14.140625" style="34" bestFit="1" customWidth="1"/>
    <col min="14305" max="14305" width="16.5703125" style="34" customWidth="1"/>
    <col min="14306" max="14307" width="9.140625" style="34"/>
    <col min="14308" max="14308" width="8.7109375" style="34" customWidth="1"/>
    <col min="14309" max="14554" width="9.140625" style="34"/>
    <col min="14555" max="14555" width="15.28515625" style="34" customWidth="1"/>
    <col min="14556" max="14556" width="10.140625" style="34" customWidth="1"/>
    <col min="14557" max="14557" width="7.28515625" style="34" customWidth="1"/>
    <col min="14558" max="14558" width="68.7109375" style="34" customWidth="1"/>
    <col min="14559" max="14559" width="15" style="34" customWidth="1"/>
    <col min="14560" max="14560" width="14.140625" style="34" bestFit="1" customWidth="1"/>
    <col min="14561" max="14561" width="16.5703125" style="34" customWidth="1"/>
    <col min="14562" max="14563" width="9.140625" style="34"/>
    <col min="14564" max="14564" width="8.7109375" style="34" customWidth="1"/>
    <col min="14565" max="14810" width="9.140625" style="34"/>
    <col min="14811" max="14811" width="15.28515625" style="34" customWidth="1"/>
    <col min="14812" max="14812" width="10.140625" style="34" customWidth="1"/>
    <col min="14813" max="14813" width="7.28515625" style="34" customWidth="1"/>
    <col min="14814" max="14814" width="68.7109375" style="34" customWidth="1"/>
    <col min="14815" max="14815" width="15" style="34" customWidth="1"/>
    <col min="14816" max="14816" width="14.140625" style="34" bestFit="1" customWidth="1"/>
    <col min="14817" max="14817" width="16.5703125" style="34" customWidth="1"/>
    <col min="14818" max="14819" width="9.140625" style="34"/>
    <col min="14820" max="14820" width="8.7109375" style="34" customWidth="1"/>
    <col min="14821" max="15066" width="9.140625" style="34"/>
    <col min="15067" max="15067" width="15.28515625" style="34" customWidth="1"/>
    <col min="15068" max="15068" width="10.140625" style="34" customWidth="1"/>
    <col min="15069" max="15069" width="7.28515625" style="34" customWidth="1"/>
    <col min="15070" max="15070" width="68.7109375" style="34" customWidth="1"/>
    <col min="15071" max="15071" width="15" style="34" customWidth="1"/>
    <col min="15072" max="15072" width="14.140625" style="34" bestFit="1" customWidth="1"/>
    <col min="15073" max="15073" width="16.5703125" style="34" customWidth="1"/>
    <col min="15074" max="15075" width="9.140625" style="34"/>
    <col min="15076" max="15076" width="8.7109375" style="34" customWidth="1"/>
    <col min="15077" max="15322" width="9.140625" style="34"/>
    <col min="15323" max="15323" width="15.28515625" style="34" customWidth="1"/>
    <col min="15324" max="15324" width="10.140625" style="34" customWidth="1"/>
    <col min="15325" max="15325" width="7.28515625" style="34" customWidth="1"/>
    <col min="15326" max="15326" width="68.7109375" style="34" customWidth="1"/>
    <col min="15327" max="15327" width="15" style="34" customWidth="1"/>
    <col min="15328" max="15328" width="14.140625" style="34" bestFit="1" customWidth="1"/>
    <col min="15329" max="15329" width="16.5703125" style="34" customWidth="1"/>
    <col min="15330" max="15331" width="9.140625" style="34"/>
    <col min="15332" max="15332" width="8.7109375" style="34" customWidth="1"/>
    <col min="15333" max="15578" width="9.140625" style="34"/>
    <col min="15579" max="15579" width="15.28515625" style="34" customWidth="1"/>
    <col min="15580" max="15580" width="10.140625" style="34" customWidth="1"/>
    <col min="15581" max="15581" width="7.28515625" style="34" customWidth="1"/>
    <col min="15582" max="15582" width="68.7109375" style="34" customWidth="1"/>
    <col min="15583" max="15583" width="15" style="34" customWidth="1"/>
    <col min="15584" max="15584" width="14.140625" style="34" bestFit="1" customWidth="1"/>
    <col min="15585" max="15585" width="16.5703125" style="34" customWidth="1"/>
    <col min="15586" max="15587" width="9.140625" style="34"/>
    <col min="15588" max="15588" width="8.7109375" style="34" customWidth="1"/>
    <col min="15589" max="15834" width="9.140625" style="34"/>
    <col min="15835" max="15835" width="15.28515625" style="34" customWidth="1"/>
    <col min="15836" max="15836" width="10.140625" style="34" customWidth="1"/>
    <col min="15837" max="15837" width="7.28515625" style="34" customWidth="1"/>
    <col min="15838" max="15838" width="68.7109375" style="34" customWidth="1"/>
    <col min="15839" max="15839" width="15" style="34" customWidth="1"/>
    <col min="15840" max="15840" width="14.140625" style="34" bestFit="1" customWidth="1"/>
    <col min="15841" max="15841" width="16.5703125" style="34" customWidth="1"/>
    <col min="15842" max="15843" width="9.140625" style="34"/>
    <col min="15844" max="15844" width="8.7109375" style="34" customWidth="1"/>
    <col min="15845" max="16090" width="9.140625" style="34"/>
    <col min="16091" max="16091" width="15.28515625" style="34" customWidth="1"/>
    <col min="16092" max="16092" width="10.140625" style="34" customWidth="1"/>
    <col min="16093" max="16093" width="7.28515625" style="34" customWidth="1"/>
    <col min="16094" max="16094" width="68.7109375" style="34" customWidth="1"/>
    <col min="16095" max="16095" width="15" style="34" customWidth="1"/>
    <col min="16096" max="16096" width="14.140625" style="34" bestFit="1" customWidth="1"/>
    <col min="16097" max="16097" width="16.5703125" style="34" customWidth="1"/>
    <col min="16098" max="16099" width="9.140625" style="34"/>
    <col min="16100" max="16100" width="8.7109375" style="34" customWidth="1"/>
    <col min="16101" max="16384" width="9.140625" style="34"/>
  </cols>
  <sheetData>
    <row r="1" spans="1:10" ht="32.25" customHeight="1">
      <c r="A1" s="820" t="s">
        <v>193</v>
      </c>
      <c r="B1" s="821"/>
      <c r="C1" s="821"/>
      <c r="D1" s="821"/>
      <c r="E1" s="821"/>
      <c r="F1" s="822"/>
      <c r="H1" s="817" t="s">
        <v>194</v>
      </c>
      <c r="I1" s="818"/>
      <c r="J1" s="819"/>
    </row>
    <row r="2" spans="1:10" s="33" customFormat="1" ht="48.75" customHeight="1">
      <c r="A2" s="74" t="s">
        <v>195</v>
      </c>
      <c r="B2" s="74" t="s">
        <v>196</v>
      </c>
      <c r="C2" s="75" t="s">
        <v>197</v>
      </c>
      <c r="D2" s="74" t="s">
        <v>198</v>
      </c>
      <c r="E2" s="76" t="s">
        <v>199</v>
      </c>
      <c r="F2" s="466" t="s">
        <v>1788</v>
      </c>
    </row>
    <row r="3" spans="1:10" ht="31.5">
      <c r="A3" s="71">
        <v>1</v>
      </c>
      <c r="B3" s="71" t="s">
        <v>200</v>
      </c>
      <c r="C3" s="72" t="s">
        <v>201</v>
      </c>
      <c r="D3" s="71" t="s">
        <v>202</v>
      </c>
      <c r="E3" s="73" t="s">
        <v>203</v>
      </c>
      <c r="F3" s="73">
        <v>3.08</v>
      </c>
    </row>
    <row r="4" spans="1:10">
      <c r="A4" s="68" t="s">
        <v>204</v>
      </c>
      <c r="B4" s="68" t="s">
        <v>205</v>
      </c>
      <c r="C4" s="67" t="s">
        <v>206</v>
      </c>
      <c r="D4" s="68" t="s">
        <v>207</v>
      </c>
      <c r="E4" s="69" t="s">
        <v>208</v>
      </c>
      <c r="F4" s="69"/>
    </row>
    <row r="5" spans="1:10">
      <c r="A5" s="68" t="s">
        <v>204</v>
      </c>
      <c r="B5" s="68" t="s">
        <v>209</v>
      </c>
      <c r="C5" s="67" t="s">
        <v>210</v>
      </c>
      <c r="D5" s="68" t="s">
        <v>207</v>
      </c>
      <c r="E5" s="69" t="s">
        <v>211</v>
      </c>
      <c r="F5" s="467"/>
    </row>
    <row r="6" spans="1:10" ht="31.5">
      <c r="A6" s="71">
        <v>2</v>
      </c>
      <c r="B6" s="71" t="s">
        <v>212</v>
      </c>
      <c r="C6" s="72" t="s">
        <v>213</v>
      </c>
      <c r="D6" s="71" t="s">
        <v>214</v>
      </c>
      <c r="E6" s="73" t="s">
        <v>203</v>
      </c>
      <c r="F6" s="73">
        <v>26.95</v>
      </c>
    </row>
    <row r="7" spans="1:10">
      <c r="A7" s="68" t="s">
        <v>204</v>
      </c>
      <c r="B7" s="68" t="s">
        <v>205</v>
      </c>
      <c r="C7" s="67" t="s">
        <v>206</v>
      </c>
      <c r="D7" s="68" t="s">
        <v>207</v>
      </c>
      <c r="E7" s="69" t="s">
        <v>215</v>
      </c>
      <c r="F7" s="69"/>
    </row>
    <row r="8" spans="1:10">
      <c r="A8" s="68" t="s">
        <v>204</v>
      </c>
      <c r="B8" s="68" t="s">
        <v>209</v>
      </c>
      <c r="C8" s="67" t="s">
        <v>210</v>
      </c>
      <c r="D8" s="68" t="s">
        <v>207</v>
      </c>
      <c r="E8" s="69" t="s">
        <v>216</v>
      </c>
      <c r="F8" s="467"/>
    </row>
    <row r="9" spans="1:10">
      <c r="A9" s="71">
        <v>3</v>
      </c>
      <c r="B9" s="71">
        <v>87262</v>
      </c>
      <c r="C9" s="72" t="s">
        <v>217</v>
      </c>
      <c r="D9" s="71" t="s">
        <v>214</v>
      </c>
      <c r="E9" s="73"/>
      <c r="F9" s="73">
        <v>131.53</v>
      </c>
    </row>
    <row r="10" spans="1:10">
      <c r="A10" s="68" t="s">
        <v>218</v>
      </c>
      <c r="B10" s="68" t="s">
        <v>219</v>
      </c>
      <c r="C10" s="67" t="s">
        <v>220</v>
      </c>
      <c r="D10" s="68" t="s">
        <v>221</v>
      </c>
      <c r="E10" s="69" t="s">
        <v>222</v>
      </c>
      <c r="F10" s="69"/>
    </row>
    <row r="11" spans="1:10">
      <c r="A11" s="68" t="s">
        <v>218</v>
      </c>
      <c r="B11" s="68" t="s">
        <v>223</v>
      </c>
      <c r="C11" s="67" t="s">
        <v>224</v>
      </c>
      <c r="D11" s="68" t="s">
        <v>221</v>
      </c>
      <c r="E11" s="69" t="s">
        <v>225</v>
      </c>
      <c r="F11" s="69"/>
    </row>
    <row r="12" spans="1:10">
      <c r="A12" s="68" t="s">
        <v>218</v>
      </c>
      <c r="B12" s="68" t="s">
        <v>226</v>
      </c>
      <c r="C12" s="67" t="s">
        <v>227</v>
      </c>
      <c r="D12" s="68" t="s">
        <v>214</v>
      </c>
      <c r="E12" s="69" t="s">
        <v>228</v>
      </c>
      <c r="F12" s="69"/>
    </row>
    <row r="13" spans="1:10">
      <c r="A13" s="68" t="s">
        <v>204</v>
      </c>
      <c r="B13" s="68" t="s">
        <v>205</v>
      </c>
      <c r="C13" s="67" t="s">
        <v>206</v>
      </c>
      <c r="D13" s="68" t="s">
        <v>207</v>
      </c>
      <c r="E13" s="69" t="s">
        <v>229</v>
      </c>
      <c r="F13" s="467"/>
    </row>
    <row r="14" spans="1:10">
      <c r="A14" s="68" t="s">
        <v>204</v>
      </c>
      <c r="B14" s="68" t="s">
        <v>209</v>
      </c>
      <c r="C14" s="67" t="s">
        <v>210</v>
      </c>
      <c r="D14" s="68" t="s">
        <v>207</v>
      </c>
      <c r="E14" s="69" t="s">
        <v>230</v>
      </c>
      <c r="F14" s="467"/>
    </row>
    <row r="15" spans="1:10">
      <c r="A15" s="71">
        <v>4</v>
      </c>
      <c r="B15" s="71">
        <v>98671</v>
      </c>
      <c r="C15" s="72" t="s">
        <v>231</v>
      </c>
      <c r="D15" s="71" t="s">
        <v>214</v>
      </c>
      <c r="E15" s="73" t="s">
        <v>203</v>
      </c>
      <c r="F15" s="73">
        <v>403.82</v>
      </c>
    </row>
    <row r="16" spans="1:10">
      <c r="A16" s="68" t="s">
        <v>218</v>
      </c>
      <c r="B16" s="68">
        <v>10841</v>
      </c>
      <c r="C16" s="67" t="s">
        <v>232</v>
      </c>
      <c r="D16" s="68" t="s">
        <v>214</v>
      </c>
      <c r="E16" s="69" t="s">
        <v>233</v>
      </c>
      <c r="F16" s="69"/>
    </row>
    <row r="17" spans="1:10">
      <c r="A17" s="68" t="s">
        <v>218</v>
      </c>
      <c r="B17" s="68" t="s">
        <v>234</v>
      </c>
      <c r="C17" s="67" t="s">
        <v>235</v>
      </c>
      <c r="D17" s="68" t="s">
        <v>221</v>
      </c>
      <c r="E17" s="69" t="s">
        <v>222</v>
      </c>
      <c r="F17" s="69"/>
    </row>
    <row r="18" spans="1:10">
      <c r="A18" s="68" t="s">
        <v>218</v>
      </c>
      <c r="B18" s="68" t="s">
        <v>223</v>
      </c>
      <c r="C18" s="67" t="s">
        <v>236</v>
      </c>
      <c r="D18" s="68" t="s">
        <v>221</v>
      </c>
      <c r="E18" s="69" t="s">
        <v>225</v>
      </c>
      <c r="F18" s="69"/>
    </row>
    <row r="19" spans="1:10">
      <c r="A19" s="68" t="s">
        <v>204</v>
      </c>
      <c r="B19" s="68" t="s">
        <v>237</v>
      </c>
      <c r="C19" s="67" t="s">
        <v>238</v>
      </c>
      <c r="D19" s="68" t="s">
        <v>207</v>
      </c>
      <c r="E19" s="69" t="s">
        <v>239</v>
      </c>
      <c r="F19" s="69"/>
    </row>
    <row r="20" spans="1:10">
      <c r="A20" s="68" t="s">
        <v>204</v>
      </c>
      <c r="B20" s="68" t="s">
        <v>209</v>
      </c>
      <c r="C20" s="67" t="s">
        <v>210</v>
      </c>
      <c r="D20" s="68" t="s">
        <v>207</v>
      </c>
      <c r="E20" s="69" t="s">
        <v>240</v>
      </c>
      <c r="F20" s="69"/>
    </row>
    <row r="21" spans="1:10">
      <c r="A21" s="71">
        <v>5</v>
      </c>
      <c r="B21" s="71">
        <v>98671</v>
      </c>
      <c r="C21" s="72" t="s">
        <v>241</v>
      </c>
      <c r="D21" s="71" t="s">
        <v>214</v>
      </c>
      <c r="E21" s="73" t="s">
        <v>203</v>
      </c>
      <c r="F21" s="73">
        <v>403.82</v>
      </c>
    </row>
    <row r="22" spans="1:10">
      <c r="A22" s="68" t="s">
        <v>218</v>
      </c>
      <c r="B22" s="68">
        <v>10841</v>
      </c>
      <c r="C22" s="67" t="s">
        <v>242</v>
      </c>
      <c r="D22" s="68" t="s">
        <v>214</v>
      </c>
      <c r="E22" s="69" t="s">
        <v>233</v>
      </c>
      <c r="F22" s="69"/>
    </row>
    <row r="23" spans="1:10">
      <c r="A23" s="68" t="s">
        <v>218</v>
      </c>
      <c r="B23" s="68" t="s">
        <v>234</v>
      </c>
      <c r="C23" s="67" t="s">
        <v>235</v>
      </c>
      <c r="D23" s="68" t="s">
        <v>221</v>
      </c>
      <c r="E23" s="69" t="s">
        <v>222</v>
      </c>
      <c r="F23" s="69"/>
    </row>
    <row r="24" spans="1:10">
      <c r="A24" s="68" t="s">
        <v>218</v>
      </c>
      <c r="B24" s="68" t="s">
        <v>223</v>
      </c>
      <c r="C24" s="67" t="s">
        <v>236</v>
      </c>
      <c r="D24" s="68" t="s">
        <v>221</v>
      </c>
      <c r="E24" s="69" t="s">
        <v>225</v>
      </c>
      <c r="F24" s="69"/>
    </row>
    <row r="25" spans="1:10">
      <c r="A25" s="68" t="s">
        <v>204</v>
      </c>
      <c r="B25" s="68" t="s">
        <v>237</v>
      </c>
      <c r="C25" s="67" t="s">
        <v>238</v>
      </c>
      <c r="D25" s="68" t="s">
        <v>207</v>
      </c>
      <c r="E25" s="69" t="s">
        <v>239</v>
      </c>
      <c r="F25" s="66"/>
    </row>
    <row r="26" spans="1:10">
      <c r="A26" s="68" t="s">
        <v>204</v>
      </c>
      <c r="B26" s="68" t="s">
        <v>209</v>
      </c>
      <c r="C26" s="67" t="s">
        <v>210</v>
      </c>
      <c r="D26" s="68" t="s">
        <v>207</v>
      </c>
      <c r="E26" s="69" t="s">
        <v>240</v>
      </c>
      <c r="F26" s="66"/>
    </row>
    <row r="27" spans="1:10">
      <c r="A27" s="71">
        <v>6</v>
      </c>
      <c r="B27" s="71" t="s">
        <v>243</v>
      </c>
      <c r="C27" s="72" t="s">
        <v>244</v>
      </c>
      <c r="D27" s="71" t="s">
        <v>214</v>
      </c>
      <c r="E27" s="73" t="s">
        <v>203</v>
      </c>
      <c r="F27" s="73">
        <f>(E28*F28)+(E29*F29)+(E30*F30)+(E31*F31)+(E32*F32)+(E33*F33)</f>
        <v>131.36847</v>
      </c>
    </row>
    <row r="28" spans="1:10">
      <c r="A28" s="68" t="s">
        <v>218</v>
      </c>
      <c r="B28" s="68" t="s">
        <v>245</v>
      </c>
      <c r="C28" s="67" t="s">
        <v>246</v>
      </c>
      <c r="D28" s="68" t="s">
        <v>221</v>
      </c>
      <c r="E28" s="69" t="s">
        <v>247</v>
      </c>
      <c r="F28" s="69">
        <v>53.64</v>
      </c>
    </row>
    <row r="29" spans="1:10" customFormat="1" ht="47.25">
      <c r="A29" s="68" t="s">
        <v>218</v>
      </c>
      <c r="B29" s="49" t="s">
        <v>1450</v>
      </c>
      <c r="C29" s="67" t="s">
        <v>248</v>
      </c>
      <c r="D29" s="68" t="s">
        <v>214</v>
      </c>
      <c r="E29" s="69" t="s">
        <v>249</v>
      </c>
      <c r="F29" s="69">
        <v>102.85</v>
      </c>
      <c r="H29" s="141"/>
      <c r="I29" s="141"/>
      <c r="J29" s="141"/>
    </row>
    <row r="30" spans="1:10" customFormat="1">
      <c r="A30" s="68" t="s">
        <v>204</v>
      </c>
      <c r="B30" s="68" t="s">
        <v>250</v>
      </c>
      <c r="C30" s="67" t="s">
        <v>251</v>
      </c>
      <c r="D30" s="68" t="s">
        <v>207</v>
      </c>
      <c r="E30" s="69" t="s">
        <v>252</v>
      </c>
      <c r="F30" s="69">
        <v>32.94</v>
      </c>
    </row>
    <row r="31" spans="1:10">
      <c r="A31" s="68" t="s">
        <v>204</v>
      </c>
      <c r="B31" s="68" t="s">
        <v>209</v>
      </c>
      <c r="C31" s="67" t="s">
        <v>210</v>
      </c>
      <c r="D31" s="68" t="s">
        <v>207</v>
      </c>
      <c r="E31" s="69" t="s">
        <v>253</v>
      </c>
      <c r="F31" s="69">
        <v>25.11</v>
      </c>
    </row>
    <row r="32" spans="1:10" customFormat="1" ht="31.5">
      <c r="A32" s="68" t="s">
        <v>204</v>
      </c>
      <c r="B32" s="68" t="s">
        <v>254</v>
      </c>
      <c r="C32" s="67" t="s">
        <v>255</v>
      </c>
      <c r="D32" s="68" t="s">
        <v>256</v>
      </c>
      <c r="E32" s="69" t="s">
        <v>257</v>
      </c>
      <c r="F32" s="69">
        <v>3.01</v>
      </c>
    </row>
    <row r="33" spans="1:7" ht="31.5">
      <c r="A33" s="68" t="s">
        <v>204</v>
      </c>
      <c r="B33" s="68" t="s">
        <v>258</v>
      </c>
      <c r="C33" s="67" t="s">
        <v>259</v>
      </c>
      <c r="D33" s="68" t="s">
        <v>260</v>
      </c>
      <c r="E33" s="69" t="s">
        <v>261</v>
      </c>
      <c r="F33" s="69">
        <v>0.73</v>
      </c>
    </row>
    <row r="34" spans="1:7" ht="31.5">
      <c r="A34" s="71">
        <v>7</v>
      </c>
      <c r="B34" s="71" t="s">
        <v>262</v>
      </c>
      <c r="C34" s="72" t="s">
        <v>263</v>
      </c>
      <c r="D34" s="71" t="s">
        <v>214</v>
      </c>
      <c r="E34" s="73" t="s">
        <v>203</v>
      </c>
      <c r="F34" s="73">
        <v>75.67</v>
      </c>
      <c r="G34" s="90"/>
    </row>
    <row r="35" spans="1:7">
      <c r="A35" s="68" t="s">
        <v>218</v>
      </c>
      <c r="B35" s="68" t="s">
        <v>264</v>
      </c>
      <c r="C35" s="67" t="s">
        <v>265</v>
      </c>
      <c r="D35" s="68" t="s">
        <v>266</v>
      </c>
      <c r="E35" s="69" t="s">
        <v>267</v>
      </c>
      <c r="F35" s="69"/>
      <c r="G35" s="90"/>
    </row>
    <row r="36" spans="1:7">
      <c r="A36" s="68" t="s">
        <v>218</v>
      </c>
      <c r="B36" s="68" t="s">
        <v>268</v>
      </c>
      <c r="C36" s="67" t="s">
        <v>269</v>
      </c>
      <c r="D36" s="68" t="s">
        <v>266</v>
      </c>
      <c r="E36" s="69" t="s">
        <v>270</v>
      </c>
      <c r="F36" s="69"/>
      <c r="G36" s="90"/>
    </row>
    <row r="37" spans="1:7">
      <c r="A37" s="68" t="s">
        <v>218</v>
      </c>
      <c r="B37" s="68" t="s">
        <v>271</v>
      </c>
      <c r="C37" s="67" t="s">
        <v>272</v>
      </c>
      <c r="D37" s="68" t="s">
        <v>273</v>
      </c>
      <c r="E37" s="69" t="s">
        <v>274</v>
      </c>
      <c r="F37" s="69"/>
      <c r="G37" s="90"/>
    </row>
    <row r="38" spans="1:7">
      <c r="A38" s="68" t="s">
        <v>218</v>
      </c>
      <c r="B38" s="68" t="s">
        <v>275</v>
      </c>
      <c r="C38" s="67" t="s">
        <v>276</v>
      </c>
      <c r="D38" s="68" t="s">
        <v>266</v>
      </c>
      <c r="E38" s="69" t="s">
        <v>277</v>
      </c>
      <c r="F38" s="69"/>
      <c r="G38" s="90"/>
    </row>
    <row r="39" spans="1:7">
      <c r="A39" s="68" t="s">
        <v>204</v>
      </c>
      <c r="B39" s="68" t="s">
        <v>278</v>
      </c>
      <c r="C39" s="67" t="s">
        <v>279</v>
      </c>
      <c r="D39" s="68" t="s">
        <v>207</v>
      </c>
      <c r="E39" s="69" t="s">
        <v>280</v>
      </c>
      <c r="F39" s="69"/>
      <c r="G39" s="90"/>
    </row>
    <row r="40" spans="1:7">
      <c r="A40" s="68" t="s">
        <v>204</v>
      </c>
      <c r="B40" s="68" t="s">
        <v>209</v>
      </c>
      <c r="C40" s="67" t="s">
        <v>210</v>
      </c>
      <c r="D40" s="68" t="s">
        <v>207</v>
      </c>
      <c r="E40" s="69" t="s">
        <v>281</v>
      </c>
      <c r="F40" s="69"/>
      <c r="G40" s="90"/>
    </row>
    <row r="41" spans="1:7" ht="31.5">
      <c r="A41" s="71">
        <v>8</v>
      </c>
      <c r="B41" s="71" t="s">
        <v>282</v>
      </c>
      <c r="C41" s="72" t="s">
        <v>283</v>
      </c>
      <c r="D41" s="71" t="s">
        <v>202</v>
      </c>
      <c r="E41" s="73" t="s">
        <v>203</v>
      </c>
      <c r="F41" s="73">
        <v>15.87</v>
      </c>
    </row>
    <row r="42" spans="1:7">
      <c r="A42" s="68" t="s">
        <v>218</v>
      </c>
      <c r="B42" s="68" t="s">
        <v>264</v>
      </c>
      <c r="C42" s="67" t="s">
        <v>265</v>
      </c>
      <c r="D42" s="68" t="s">
        <v>266</v>
      </c>
      <c r="E42" s="69" t="s">
        <v>284</v>
      </c>
      <c r="F42" s="69" t="s">
        <v>203</v>
      </c>
    </row>
    <row r="43" spans="1:7">
      <c r="A43" s="68" t="s">
        <v>218</v>
      </c>
      <c r="B43" s="68" t="s">
        <v>268</v>
      </c>
      <c r="C43" s="67" t="s">
        <v>269</v>
      </c>
      <c r="D43" s="68" t="s">
        <v>266</v>
      </c>
      <c r="E43" s="69" t="s">
        <v>285</v>
      </c>
      <c r="F43" s="69" t="s">
        <v>203</v>
      </c>
    </row>
    <row r="44" spans="1:7">
      <c r="A44" s="68" t="s">
        <v>218</v>
      </c>
      <c r="B44" s="68" t="s">
        <v>271</v>
      </c>
      <c r="C44" s="67" t="s">
        <v>272</v>
      </c>
      <c r="D44" s="68" t="s">
        <v>273</v>
      </c>
      <c r="E44" s="69" t="s">
        <v>286</v>
      </c>
      <c r="F44" s="69" t="s">
        <v>203</v>
      </c>
    </row>
    <row r="45" spans="1:7">
      <c r="A45" s="68" t="s">
        <v>218</v>
      </c>
      <c r="B45" s="68" t="s">
        <v>275</v>
      </c>
      <c r="C45" s="67" t="s">
        <v>276</v>
      </c>
      <c r="D45" s="68" t="s">
        <v>266</v>
      </c>
      <c r="E45" s="69" t="s">
        <v>287</v>
      </c>
      <c r="F45" s="69" t="s">
        <v>203</v>
      </c>
    </row>
    <row r="46" spans="1:7">
      <c r="A46" s="68" t="s">
        <v>204</v>
      </c>
      <c r="B46" s="68" t="s">
        <v>278</v>
      </c>
      <c r="C46" s="67" t="s">
        <v>279</v>
      </c>
      <c r="D46" s="68" t="s">
        <v>207</v>
      </c>
      <c r="E46" s="69" t="s">
        <v>253</v>
      </c>
      <c r="F46" s="69" t="s">
        <v>203</v>
      </c>
    </row>
    <row r="47" spans="1:7">
      <c r="A47" s="68" t="s">
        <v>204</v>
      </c>
      <c r="B47" s="68" t="s">
        <v>209</v>
      </c>
      <c r="C47" s="67" t="s">
        <v>210</v>
      </c>
      <c r="D47" s="68" t="s">
        <v>207</v>
      </c>
      <c r="E47" s="69" t="s">
        <v>288</v>
      </c>
      <c r="F47" s="69" t="s">
        <v>203</v>
      </c>
    </row>
    <row r="48" spans="1:7" ht="31.5">
      <c r="A48" s="71">
        <v>9</v>
      </c>
      <c r="B48" s="71" t="s">
        <v>289</v>
      </c>
      <c r="C48" s="72" t="s">
        <v>290</v>
      </c>
      <c r="D48" s="71" t="s">
        <v>214</v>
      </c>
      <c r="E48" s="73" t="s">
        <v>203</v>
      </c>
      <c r="F48" s="73">
        <v>23.78</v>
      </c>
    </row>
    <row r="49" spans="1:6">
      <c r="A49" s="68" t="s">
        <v>218</v>
      </c>
      <c r="B49" s="68" t="s">
        <v>291</v>
      </c>
      <c r="C49" s="67" t="s">
        <v>292</v>
      </c>
      <c r="D49" s="68" t="s">
        <v>266</v>
      </c>
      <c r="E49" s="69" t="s">
        <v>293</v>
      </c>
      <c r="F49" s="66" t="s">
        <v>203</v>
      </c>
    </row>
    <row r="50" spans="1:6" ht="20.25" customHeight="1">
      <c r="A50" s="68" t="s">
        <v>218</v>
      </c>
      <c r="B50" s="68" t="s">
        <v>294</v>
      </c>
      <c r="C50" s="67" t="s">
        <v>295</v>
      </c>
      <c r="D50" s="68" t="s">
        <v>266</v>
      </c>
      <c r="E50" s="69" t="s">
        <v>296</v>
      </c>
      <c r="F50" s="66" t="s">
        <v>203</v>
      </c>
    </row>
    <row r="51" spans="1:6" ht="20.25" customHeight="1">
      <c r="A51" s="68" t="s">
        <v>218</v>
      </c>
      <c r="B51" s="68" t="s">
        <v>271</v>
      </c>
      <c r="C51" s="67" t="s">
        <v>272</v>
      </c>
      <c r="D51" s="68" t="s">
        <v>273</v>
      </c>
      <c r="E51" s="69" t="s">
        <v>274</v>
      </c>
      <c r="F51" s="66" t="s">
        <v>203</v>
      </c>
    </row>
    <row r="52" spans="1:6">
      <c r="A52" s="68" t="s">
        <v>204</v>
      </c>
      <c r="B52" s="68" t="s">
        <v>278</v>
      </c>
      <c r="C52" s="67" t="s">
        <v>279</v>
      </c>
      <c r="D52" s="68" t="s">
        <v>207</v>
      </c>
      <c r="E52" s="69" t="s">
        <v>280</v>
      </c>
      <c r="F52" s="66" t="s">
        <v>203</v>
      </c>
    </row>
    <row r="53" spans="1:6">
      <c r="A53" s="68" t="s">
        <v>204</v>
      </c>
      <c r="B53" s="68" t="s">
        <v>209</v>
      </c>
      <c r="C53" s="67" t="s">
        <v>210</v>
      </c>
      <c r="D53" s="68" t="s">
        <v>207</v>
      </c>
      <c r="E53" s="69" t="s">
        <v>281</v>
      </c>
      <c r="F53" s="66" t="s">
        <v>203</v>
      </c>
    </row>
    <row r="54" spans="1:6" s="77" customFormat="1">
      <c r="A54" s="71">
        <v>10</v>
      </c>
      <c r="B54" s="71" t="s">
        <v>297</v>
      </c>
      <c r="C54" s="72" t="s">
        <v>298</v>
      </c>
      <c r="D54" s="71" t="s">
        <v>214</v>
      </c>
      <c r="E54" s="73" t="s">
        <v>203</v>
      </c>
      <c r="F54" s="73">
        <f>(E55*F55)+(E56*F56)+(E57*F57)</f>
        <v>317.01490000000001</v>
      </c>
    </row>
    <row r="55" spans="1:6" ht="31.5">
      <c r="A55" s="68" t="s">
        <v>218</v>
      </c>
      <c r="B55" s="68" t="s">
        <v>299</v>
      </c>
      <c r="C55" s="67" t="s">
        <v>300</v>
      </c>
      <c r="D55" s="68" t="s">
        <v>214</v>
      </c>
      <c r="E55" s="69" t="s">
        <v>301</v>
      </c>
      <c r="F55" s="69">
        <v>298.42</v>
      </c>
    </row>
    <row r="56" spans="1:6">
      <c r="A56" s="68" t="s">
        <v>204</v>
      </c>
      <c r="B56" s="68" t="s">
        <v>250</v>
      </c>
      <c r="C56" s="67" t="s">
        <v>251</v>
      </c>
      <c r="D56" s="68" t="s">
        <v>207</v>
      </c>
      <c r="E56" s="69" t="s">
        <v>302</v>
      </c>
      <c r="F56" s="69">
        <f>F30</f>
        <v>32.94</v>
      </c>
    </row>
    <row r="57" spans="1:6">
      <c r="A57" s="68" t="s">
        <v>204</v>
      </c>
      <c r="B57" s="68" t="s">
        <v>209</v>
      </c>
      <c r="C57" s="67" t="s">
        <v>210</v>
      </c>
      <c r="D57" s="68" t="s">
        <v>207</v>
      </c>
      <c r="E57" s="69" t="s">
        <v>303</v>
      </c>
      <c r="F57" s="69">
        <f>F31</f>
        <v>25.11</v>
      </c>
    </row>
    <row r="58" spans="1:6">
      <c r="A58" s="71">
        <v>11</v>
      </c>
      <c r="B58" s="71" t="s">
        <v>297</v>
      </c>
      <c r="C58" s="72" t="s">
        <v>304</v>
      </c>
      <c r="D58" s="71" t="s">
        <v>214</v>
      </c>
      <c r="E58" s="73" t="s">
        <v>203</v>
      </c>
      <c r="F58" s="73">
        <f>(E59*F59)+(E60*F60)+(E61*F61)</f>
        <v>266.99489999999997</v>
      </c>
    </row>
    <row r="59" spans="1:6">
      <c r="A59" s="68" t="s">
        <v>218</v>
      </c>
      <c r="B59" s="68">
        <v>39636</v>
      </c>
      <c r="C59" s="67" t="s">
        <v>305</v>
      </c>
      <c r="D59" s="68" t="s">
        <v>214</v>
      </c>
      <c r="E59" s="69" t="s">
        <v>301</v>
      </c>
      <c r="F59" s="69">
        <f>'Materiais de reposição'!F16</f>
        <v>248.4</v>
      </c>
    </row>
    <row r="60" spans="1:6">
      <c r="A60" s="68" t="s">
        <v>204</v>
      </c>
      <c r="B60" s="68" t="s">
        <v>250</v>
      </c>
      <c r="C60" s="67" t="s">
        <v>251</v>
      </c>
      <c r="D60" s="68" t="s">
        <v>207</v>
      </c>
      <c r="E60" s="69" t="s">
        <v>302</v>
      </c>
      <c r="F60" s="69">
        <f>F56</f>
        <v>32.94</v>
      </c>
    </row>
    <row r="61" spans="1:6">
      <c r="A61" s="68" t="s">
        <v>204</v>
      </c>
      <c r="B61" s="68" t="s">
        <v>209</v>
      </c>
      <c r="C61" s="67" t="s">
        <v>210</v>
      </c>
      <c r="D61" s="68" t="s">
        <v>207</v>
      </c>
      <c r="E61" s="69" t="s">
        <v>303</v>
      </c>
      <c r="F61" s="69">
        <f>F57</f>
        <v>25.11</v>
      </c>
    </row>
    <row r="62" spans="1:6" ht="31.5">
      <c r="A62" s="71">
        <v>12</v>
      </c>
      <c r="B62" s="71" t="s">
        <v>243</v>
      </c>
      <c r="C62" s="72" t="s">
        <v>306</v>
      </c>
      <c r="D62" s="71" t="s">
        <v>202</v>
      </c>
      <c r="E62" s="73" t="s">
        <v>203</v>
      </c>
      <c r="F62" s="73">
        <f>E63*F63</f>
        <v>80.84</v>
      </c>
    </row>
    <row r="63" spans="1:6" ht="31.5">
      <c r="A63" s="68" t="s">
        <v>204</v>
      </c>
      <c r="B63" s="68">
        <v>98575</v>
      </c>
      <c r="C63" s="67" t="s">
        <v>307</v>
      </c>
      <c r="D63" s="68" t="s">
        <v>202</v>
      </c>
      <c r="E63" s="70">
        <v>1</v>
      </c>
      <c r="F63" s="69">
        <v>80.84</v>
      </c>
    </row>
    <row r="64" spans="1:6" ht="31.5">
      <c r="A64" s="71">
        <v>13</v>
      </c>
      <c r="B64" s="71" t="s">
        <v>308</v>
      </c>
      <c r="C64" s="72" t="s">
        <v>309</v>
      </c>
      <c r="D64" s="71" t="s">
        <v>202</v>
      </c>
      <c r="E64" s="73" t="s">
        <v>203</v>
      </c>
      <c r="F64" s="73">
        <v>54.69</v>
      </c>
    </row>
    <row r="65" spans="1:6" ht="31.5">
      <c r="A65" s="68" t="s">
        <v>218</v>
      </c>
      <c r="B65" s="68" t="s">
        <v>310</v>
      </c>
      <c r="C65" s="67" t="s">
        <v>311</v>
      </c>
      <c r="D65" s="68" t="s">
        <v>266</v>
      </c>
      <c r="E65" s="69" t="s">
        <v>312</v>
      </c>
      <c r="F65" s="66" t="s">
        <v>203</v>
      </c>
    </row>
    <row r="66" spans="1:6" ht="31.5">
      <c r="A66" s="68" t="s">
        <v>218</v>
      </c>
      <c r="B66" s="68" t="s">
        <v>313</v>
      </c>
      <c r="C66" s="67" t="s">
        <v>314</v>
      </c>
      <c r="D66" s="68" t="s">
        <v>202</v>
      </c>
      <c r="E66" s="69" t="s">
        <v>301</v>
      </c>
      <c r="F66" s="66" t="s">
        <v>203</v>
      </c>
    </row>
    <row r="67" spans="1:6">
      <c r="A67" s="68" t="s">
        <v>204</v>
      </c>
      <c r="B67" s="68" t="s">
        <v>250</v>
      </c>
      <c r="C67" s="67" t="s">
        <v>251</v>
      </c>
      <c r="D67" s="68" t="s">
        <v>207</v>
      </c>
      <c r="E67" s="69" t="s">
        <v>315</v>
      </c>
      <c r="F67" s="66" t="s">
        <v>203</v>
      </c>
    </row>
    <row r="68" spans="1:6">
      <c r="A68" s="68" t="s">
        <v>204</v>
      </c>
      <c r="B68" s="68" t="s">
        <v>209</v>
      </c>
      <c r="C68" s="67" t="s">
        <v>210</v>
      </c>
      <c r="D68" s="68" t="s">
        <v>207</v>
      </c>
      <c r="E68" s="69" t="s">
        <v>261</v>
      </c>
      <c r="F68" s="66" t="s">
        <v>203</v>
      </c>
    </row>
    <row r="69" spans="1:6" ht="31.5">
      <c r="A69" s="78">
        <v>14</v>
      </c>
      <c r="B69" s="78">
        <v>101094</v>
      </c>
      <c r="C69" s="84" t="s">
        <v>316</v>
      </c>
      <c r="D69" s="78" t="s">
        <v>202</v>
      </c>
      <c r="E69" s="85"/>
      <c r="F69" s="73">
        <v>158.97</v>
      </c>
    </row>
    <row r="70" spans="1:6">
      <c r="A70" s="82" t="s">
        <v>218</v>
      </c>
      <c r="B70" s="82" t="s">
        <v>317</v>
      </c>
      <c r="C70" s="83" t="s">
        <v>318</v>
      </c>
      <c r="D70" s="82" t="s">
        <v>221</v>
      </c>
      <c r="E70" s="82" t="s">
        <v>319</v>
      </c>
      <c r="F70" s="427"/>
    </row>
    <row r="71" spans="1:6">
      <c r="A71" s="68" t="s">
        <v>218</v>
      </c>
      <c r="B71" s="68" t="s">
        <v>223</v>
      </c>
      <c r="C71" s="67" t="s">
        <v>224</v>
      </c>
      <c r="D71" s="68" t="s">
        <v>221</v>
      </c>
      <c r="E71" s="68" t="s">
        <v>320</v>
      </c>
      <c r="F71" s="427"/>
    </row>
    <row r="72" spans="1:6" ht="31.5">
      <c r="A72" s="68" t="s">
        <v>218</v>
      </c>
      <c r="B72" s="68" t="s">
        <v>321</v>
      </c>
      <c r="C72" s="67" t="s">
        <v>322</v>
      </c>
      <c r="D72" s="68" t="s">
        <v>214</v>
      </c>
      <c r="E72" s="68" t="s">
        <v>323</v>
      </c>
      <c r="F72" s="427"/>
    </row>
    <row r="73" spans="1:6">
      <c r="A73" s="68" t="s">
        <v>204</v>
      </c>
      <c r="B73" s="68" t="s">
        <v>250</v>
      </c>
      <c r="C73" s="67" t="s">
        <v>251</v>
      </c>
      <c r="D73" s="68" t="s">
        <v>207</v>
      </c>
      <c r="E73" s="68" t="s">
        <v>324</v>
      </c>
      <c r="F73" s="427"/>
    </row>
    <row r="74" spans="1:6">
      <c r="A74" s="91" t="s">
        <v>204</v>
      </c>
      <c r="B74" s="91" t="s">
        <v>209</v>
      </c>
      <c r="C74" s="92" t="s">
        <v>210</v>
      </c>
      <c r="D74" s="91" t="s">
        <v>207</v>
      </c>
      <c r="E74" s="91" t="s">
        <v>325</v>
      </c>
      <c r="F74" s="427"/>
    </row>
    <row r="75" spans="1:6" ht="31.5">
      <c r="A75" s="78">
        <v>15</v>
      </c>
      <c r="B75" s="78" t="s">
        <v>297</v>
      </c>
      <c r="C75" s="84" t="s">
        <v>1621</v>
      </c>
      <c r="D75" s="78" t="s">
        <v>214</v>
      </c>
      <c r="E75" s="85"/>
      <c r="F75" s="73">
        <f>(E76*F76)+(E77*F77)+(E78*F78)</f>
        <v>47.796500000000002</v>
      </c>
    </row>
    <row r="76" spans="1:6">
      <c r="A76" s="68" t="s">
        <v>218</v>
      </c>
      <c r="B76" s="95">
        <v>43148</v>
      </c>
      <c r="C76" s="97" t="s">
        <v>1451</v>
      </c>
      <c r="D76" s="95" t="s">
        <v>221</v>
      </c>
      <c r="E76" s="96">
        <v>0.3</v>
      </c>
      <c r="F76" s="69">
        <v>69.790000000000006</v>
      </c>
    </row>
    <row r="77" spans="1:6">
      <c r="A77" s="68" t="s">
        <v>204</v>
      </c>
      <c r="B77" s="95">
        <v>88243</v>
      </c>
      <c r="C77" s="97" t="s">
        <v>326</v>
      </c>
      <c r="D77" s="95" t="s">
        <v>207</v>
      </c>
      <c r="E77" s="96">
        <v>0.15</v>
      </c>
      <c r="F77" s="69">
        <v>25.81</v>
      </c>
    </row>
    <row r="78" spans="1:6">
      <c r="A78" s="68" t="s">
        <v>204</v>
      </c>
      <c r="B78" s="95">
        <v>88270</v>
      </c>
      <c r="C78" s="97" t="s">
        <v>327</v>
      </c>
      <c r="D78" s="95" t="s">
        <v>207</v>
      </c>
      <c r="E78" s="96">
        <v>0.7</v>
      </c>
      <c r="F78" s="69">
        <v>32.840000000000003</v>
      </c>
    </row>
    <row r="79" spans="1:6" ht="31.5">
      <c r="A79" s="78">
        <v>16</v>
      </c>
      <c r="B79" s="78" t="s">
        <v>297</v>
      </c>
      <c r="C79" s="84" t="s">
        <v>1620</v>
      </c>
      <c r="D79" s="78" t="s">
        <v>214</v>
      </c>
      <c r="E79" s="85"/>
      <c r="F79" s="73">
        <f>(E80*F80)+(E81*F81)+(E82*F82)+(E83*F83)</f>
        <v>44.442216000000002</v>
      </c>
    </row>
    <row r="80" spans="1:6">
      <c r="A80" s="68" t="s">
        <v>204</v>
      </c>
      <c r="B80" s="95">
        <v>102488</v>
      </c>
      <c r="C80" s="97" t="s">
        <v>1618</v>
      </c>
      <c r="D80" s="95" t="s">
        <v>16</v>
      </c>
      <c r="E80" s="538">
        <v>1</v>
      </c>
      <c r="F80" s="69">
        <v>4.24</v>
      </c>
    </row>
    <row r="81" spans="1:6">
      <c r="A81" s="68" t="s">
        <v>204</v>
      </c>
      <c r="B81" s="95">
        <v>88270</v>
      </c>
      <c r="C81" s="97" t="s">
        <v>327</v>
      </c>
      <c r="D81" s="95" t="s">
        <v>207</v>
      </c>
      <c r="E81" s="537">
        <v>0.49830000000000002</v>
      </c>
      <c r="F81" s="69">
        <f>F78</f>
        <v>32.840000000000003</v>
      </c>
    </row>
    <row r="82" spans="1:6">
      <c r="A82" s="68" t="s">
        <v>204</v>
      </c>
      <c r="B82" s="95">
        <v>88243</v>
      </c>
      <c r="C82" s="97" t="s">
        <v>326</v>
      </c>
      <c r="D82" s="95" t="s">
        <v>207</v>
      </c>
      <c r="E82" s="537">
        <v>0.1124</v>
      </c>
      <c r="F82" s="69">
        <f>F77</f>
        <v>25.81</v>
      </c>
    </row>
    <row r="83" spans="1:6">
      <c r="A83" s="68" t="s">
        <v>218</v>
      </c>
      <c r="B83" s="95">
        <v>43148</v>
      </c>
      <c r="C83" s="97" t="s">
        <v>1619</v>
      </c>
      <c r="D83" s="95" t="s">
        <v>221</v>
      </c>
      <c r="E83" s="537">
        <v>0.3</v>
      </c>
      <c r="F83" s="69">
        <f>F76</f>
        <v>69.790000000000006</v>
      </c>
    </row>
    <row r="84" spans="1:6" ht="31.5">
      <c r="A84" s="78">
        <v>17</v>
      </c>
      <c r="B84" s="78" t="s">
        <v>328</v>
      </c>
      <c r="C84" s="79" t="s">
        <v>329</v>
      </c>
      <c r="D84" s="78" t="s">
        <v>214</v>
      </c>
      <c r="E84" s="80" t="s">
        <v>203</v>
      </c>
      <c r="F84" s="73">
        <v>72.55</v>
      </c>
    </row>
    <row r="85" spans="1:6">
      <c r="A85" s="36" t="s">
        <v>218</v>
      </c>
      <c r="B85" s="36" t="s">
        <v>330</v>
      </c>
      <c r="C85" s="37" t="s">
        <v>331</v>
      </c>
      <c r="D85" s="36" t="s">
        <v>221</v>
      </c>
      <c r="E85" s="38" t="s">
        <v>332</v>
      </c>
      <c r="F85" s="66" t="s">
        <v>203</v>
      </c>
    </row>
    <row r="86" spans="1:6" ht="31.5">
      <c r="A86" s="36" t="s">
        <v>218</v>
      </c>
      <c r="B86" s="36" t="s">
        <v>333</v>
      </c>
      <c r="C86" s="37" t="s">
        <v>334</v>
      </c>
      <c r="D86" s="36" t="s">
        <v>214</v>
      </c>
      <c r="E86" s="38" t="s">
        <v>335</v>
      </c>
      <c r="F86" s="66" t="s">
        <v>203</v>
      </c>
    </row>
    <row r="87" spans="1:6" ht="31.5">
      <c r="A87" s="36" t="s">
        <v>218</v>
      </c>
      <c r="B87" s="36" t="s">
        <v>336</v>
      </c>
      <c r="C87" s="37" t="s">
        <v>337</v>
      </c>
      <c r="D87" s="36" t="s">
        <v>202</v>
      </c>
      <c r="E87" s="38" t="s">
        <v>338</v>
      </c>
      <c r="F87" s="66" t="s">
        <v>203</v>
      </c>
    </row>
    <row r="88" spans="1:6" ht="47.25">
      <c r="A88" s="36" t="s">
        <v>218</v>
      </c>
      <c r="B88" s="36" t="s">
        <v>339</v>
      </c>
      <c r="C88" s="37" t="s">
        <v>340</v>
      </c>
      <c r="D88" s="36" t="s">
        <v>273</v>
      </c>
      <c r="E88" s="38" t="s">
        <v>341</v>
      </c>
      <c r="F88" s="66" t="s">
        <v>203</v>
      </c>
    </row>
    <row r="89" spans="1:6" ht="31.5">
      <c r="A89" s="36" t="s">
        <v>218</v>
      </c>
      <c r="B89" s="36" t="s">
        <v>342</v>
      </c>
      <c r="C89" s="37" t="s">
        <v>343</v>
      </c>
      <c r="D89" s="36" t="s">
        <v>202</v>
      </c>
      <c r="E89" s="38" t="s">
        <v>344</v>
      </c>
      <c r="F89" s="66" t="s">
        <v>203</v>
      </c>
    </row>
    <row r="90" spans="1:6" ht="47.25">
      <c r="A90" s="36" t="s">
        <v>218</v>
      </c>
      <c r="B90" s="36" t="s">
        <v>345</v>
      </c>
      <c r="C90" s="37" t="s">
        <v>346</v>
      </c>
      <c r="D90" s="36" t="s">
        <v>221</v>
      </c>
      <c r="E90" s="38" t="s">
        <v>347</v>
      </c>
      <c r="F90" s="66" t="s">
        <v>203</v>
      </c>
    </row>
    <row r="91" spans="1:6" ht="31.5">
      <c r="A91" s="36" t="s">
        <v>218</v>
      </c>
      <c r="B91" s="36" t="s">
        <v>348</v>
      </c>
      <c r="C91" s="37" t="s">
        <v>349</v>
      </c>
      <c r="D91" s="36" t="s">
        <v>273</v>
      </c>
      <c r="E91" s="38" t="s">
        <v>350</v>
      </c>
      <c r="F91" s="66" t="s">
        <v>203</v>
      </c>
    </row>
    <row r="92" spans="1:6" ht="31.5">
      <c r="A92" s="36" t="s">
        <v>218</v>
      </c>
      <c r="B92" s="36" t="s">
        <v>351</v>
      </c>
      <c r="C92" s="37" t="s">
        <v>352</v>
      </c>
      <c r="D92" s="36" t="s">
        <v>273</v>
      </c>
      <c r="E92" s="38" t="s">
        <v>353</v>
      </c>
      <c r="F92" s="66" t="s">
        <v>203</v>
      </c>
    </row>
    <row r="93" spans="1:6">
      <c r="A93" s="36" t="s">
        <v>218</v>
      </c>
      <c r="B93" s="36" t="s">
        <v>354</v>
      </c>
      <c r="C93" s="37" t="s">
        <v>355</v>
      </c>
      <c r="D93" s="36" t="s">
        <v>356</v>
      </c>
      <c r="E93" s="38" t="s">
        <v>357</v>
      </c>
      <c r="F93" s="66" t="s">
        <v>203</v>
      </c>
    </row>
    <row r="94" spans="1:6" ht="31.5">
      <c r="A94" s="36" t="s">
        <v>204</v>
      </c>
      <c r="B94" s="36" t="s">
        <v>358</v>
      </c>
      <c r="C94" s="37" t="s">
        <v>359</v>
      </c>
      <c r="D94" s="36" t="s">
        <v>207</v>
      </c>
      <c r="E94" s="38" t="s">
        <v>360</v>
      </c>
      <c r="F94" s="66" t="s">
        <v>203</v>
      </c>
    </row>
    <row r="95" spans="1:6">
      <c r="A95" s="36" t="s">
        <v>204</v>
      </c>
      <c r="B95" s="36" t="s">
        <v>209</v>
      </c>
      <c r="C95" s="37" t="s">
        <v>210</v>
      </c>
      <c r="D95" s="36" t="s">
        <v>207</v>
      </c>
      <c r="E95" s="38" t="s">
        <v>360</v>
      </c>
      <c r="F95" s="66" t="s">
        <v>203</v>
      </c>
    </row>
    <row r="96" spans="1:6" ht="31.5">
      <c r="A96" s="78">
        <v>18</v>
      </c>
      <c r="B96" s="78">
        <v>96116</v>
      </c>
      <c r="C96" s="79" t="s">
        <v>361</v>
      </c>
      <c r="D96" s="78" t="s">
        <v>214</v>
      </c>
      <c r="E96" s="80" t="s">
        <v>203</v>
      </c>
      <c r="F96" s="73">
        <v>64.37</v>
      </c>
    </row>
    <row r="97" spans="1:6" ht="31.5">
      <c r="A97" s="36" t="s">
        <v>218</v>
      </c>
      <c r="B97" s="36" t="s">
        <v>362</v>
      </c>
      <c r="C97" s="37" t="s">
        <v>363</v>
      </c>
      <c r="D97" s="36" t="s">
        <v>214</v>
      </c>
      <c r="E97" s="36" t="s">
        <v>364</v>
      </c>
      <c r="F97" s="66"/>
    </row>
    <row r="98" spans="1:6" ht="31.5">
      <c r="A98" s="36" t="s">
        <v>218</v>
      </c>
      <c r="B98" s="36" t="s">
        <v>336</v>
      </c>
      <c r="C98" s="37" t="s">
        <v>337</v>
      </c>
      <c r="D98" s="36" t="s">
        <v>202</v>
      </c>
      <c r="E98" s="36" t="s">
        <v>365</v>
      </c>
      <c r="F98" s="66"/>
    </row>
    <row r="99" spans="1:6" ht="47.25">
      <c r="A99" s="36" t="s">
        <v>218</v>
      </c>
      <c r="B99" s="36" t="s">
        <v>339</v>
      </c>
      <c r="C99" s="37" t="s">
        <v>340</v>
      </c>
      <c r="D99" s="36" t="s">
        <v>273</v>
      </c>
      <c r="E99" s="36" t="s">
        <v>341</v>
      </c>
      <c r="F99" s="66"/>
    </row>
    <row r="100" spans="1:6" ht="31.5">
      <c r="A100" s="36" t="s">
        <v>218</v>
      </c>
      <c r="B100" s="36" t="s">
        <v>351</v>
      </c>
      <c r="C100" s="37" t="s">
        <v>352</v>
      </c>
      <c r="D100" s="36" t="s">
        <v>273</v>
      </c>
      <c r="E100" s="36" t="s">
        <v>353</v>
      </c>
      <c r="F100" s="66"/>
    </row>
    <row r="101" spans="1:6">
      <c r="A101" s="36" t="s">
        <v>218</v>
      </c>
      <c r="B101" s="36" t="s">
        <v>354</v>
      </c>
      <c r="C101" s="37" t="s">
        <v>366</v>
      </c>
      <c r="D101" s="36" t="s">
        <v>356</v>
      </c>
      <c r="E101" s="36" t="s">
        <v>357</v>
      </c>
      <c r="F101" s="66"/>
    </row>
    <row r="102" spans="1:6" ht="31.5">
      <c r="A102" s="36" t="s">
        <v>218</v>
      </c>
      <c r="B102" s="36" t="s">
        <v>367</v>
      </c>
      <c r="C102" s="37" t="s">
        <v>368</v>
      </c>
      <c r="D102" s="36" t="s">
        <v>356</v>
      </c>
      <c r="E102" s="36" t="s">
        <v>369</v>
      </c>
      <c r="F102" s="66"/>
    </row>
    <row r="103" spans="1:6" ht="31.5">
      <c r="A103" s="36" t="s">
        <v>218</v>
      </c>
      <c r="B103" s="36" t="s">
        <v>370</v>
      </c>
      <c r="C103" s="37" t="s">
        <v>371</v>
      </c>
      <c r="D103" s="36" t="s">
        <v>221</v>
      </c>
      <c r="E103" s="36" t="s">
        <v>332</v>
      </c>
      <c r="F103" s="66"/>
    </row>
    <row r="104" spans="1:6" ht="31.5">
      <c r="A104" s="36" t="s">
        <v>204</v>
      </c>
      <c r="B104" s="36" t="s">
        <v>358</v>
      </c>
      <c r="C104" s="37" t="s">
        <v>359</v>
      </c>
      <c r="D104" s="36" t="s">
        <v>207</v>
      </c>
      <c r="E104" s="36" t="s">
        <v>372</v>
      </c>
      <c r="F104" s="66"/>
    </row>
    <row r="105" spans="1:6" s="77" customFormat="1" ht="24.75" customHeight="1">
      <c r="A105" s="460">
        <v>19</v>
      </c>
      <c r="B105" s="460">
        <v>96113</v>
      </c>
      <c r="C105" s="461" t="s">
        <v>1444</v>
      </c>
      <c r="D105" s="460" t="s">
        <v>214</v>
      </c>
      <c r="E105" s="460"/>
      <c r="F105" s="462">
        <v>50.83</v>
      </c>
    </row>
    <row r="106" spans="1:6">
      <c r="A106" s="463" t="s">
        <v>204</v>
      </c>
      <c r="B106" s="463">
        <v>88316</v>
      </c>
      <c r="C106" s="464" t="s">
        <v>210</v>
      </c>
      <c r="D106" s="463" t="s">
        <v>207</v>
      </c>
      <c r="E106" s="465">
        <v>0.45219999999999999</v>
      </c>
      <c r="F106" s="66"/>
    </row>
    <row r="107" spans="1:6">
      <c r="A107" s="463" t="s">
        <v>204</v>
      </c>
      <c r="B107" s="463">
        <v>88269</v>
      </c>
      <c r="C107" s="464" t="s">
        <v>1445</v>
      </c>
      <c r="D107" s="463" t="s">
        <v>207</v>
      </c>
      <c r="E107" s="465">
        <v>0.78669999999999995</v>
      </c>
      <c r="F107" s="66"/>
    </row>
    <row r="108" spans="1:6">
      <c r="A108" s="463" t="s">
        <v>218</v>
      </c>
      <c r="B108" s="463">
        <v>40547</v>
      </c>
      <c r="C108" s="464" t="s">
        <v>366</v>
      </c>
      <c r="D108" s="463" t="s">
        <v>356</v>
      </c>
      <c r="E108" s="465">
        <v>2.93E-2</v>
      </c>
      <c r="F108" s="66"/>
    </row>
    <row r="109" spans="1:6">
      <c r="A109" s="463" t="s">
        <v>218</v>
      </c>
      <c r="B109" s="463">
        <v>20250</v>
      </c>
      <c r="C109" s="464" t="s">
        <v>1446</v>
      </c>
      <c r="D109" s="463" t="s">
        <v>221</v>
      </c>
      <c r="E109" s="465">
        <v>7.7999999999999996E-3</v>
      </c>
      <c r="F109" s="66"/>
    </row>
    <row r="110" spans="1:6">
      <c r="A110" s="463" t="s">
        <v>218</v>
      </c>
      <c r="B110" s="463">
        <v>4812</v>
      </c>
      <c r="C110" s="464" t="s">
        <v>1447</v>
      </c>
      <c r="D110" s="463" t="s">
        <v>214</v>
      </c>
      <c r="E110" s="465">
        <v>1.0414000000000001</v>
      </c>
      <c r="F110" s="66"/>
    </row>
    <row r="111" spans="1:6">
      <c r="A111" s="463" t="s">
        <v>218</v>
      </c>
      <c r="B111" s="463">
        <v>3315</v>
      </c>
      <c r="C111" s="464" t="s">
        <v>1448</v>
      </c>
      <c r="D111" s="463" t="s">
        <v>221</v>
      </c>
      <c r="E111" s="465">
        <v>1.8127</v>
      </c>
      <c r="F111" s="66"/>
    </row>
    <row r="112" spans="1:6">
      <c r="A112" s="463" t="s">
        <v>218</v>
      </c>
      <c r="B112" s="463">
        <v>345</v>
      </c>
      <c r="C112" s="464" t="s">
        <v>1449</v>
      </c>
      <c r="D112" s="463" t="s">
        <v>221</v>
      </c>
      <c r="E112" s="465">
        <v>2.1700000000000001E-2</v>
      </c>
      <c r="F112" s="66"/>
    </row>
    <row r="113" spans="1:6" ht="31.5">
      <c r="A113" s="78">
        <v>20</v>
      </c>
      <c r="B113" s="78">
        <v>96121</v>
      </c>
      <c r="C113" s="79" t="s">
        <v>373</v>
      </c>
      <c r="D113" s="78" t="s">
        <v>202</v>
      </c>
      <c r="E113" s="78"/>
      <c r="F113" s="71">
        <v>12.17</v>
      </c>
    </row>
    <row r="114" spans="1:6" ht="31.5">
      <c r="A114" s="36" t="s">
        <v>218</v>
      </c>
      <c r="B114" s="36" t="s">
        <v>374</v>
      </c>
      <c r="C114" s="37" t="s">
        <v>375</v>
      </c>
      <c r="D114" s="36" t="s">
        <v>202</v>
      </c>
      <c r="E114" s="36" t="s">
        <v>376</v>
      </c>
      <c r="F114" s="66"/>
    </row>
    <row r="115" spans="1:6" ht="31.5">
      <c r="A115" s="36" t="s">
        <v>218</v>
      </c>
      <c r="B115" s="36" t="s">
        <v>351</v>
      </c>
      <c r="C115" s="37" t="s">
        <v>352</v>
      </c>
      <c r="D115" s="36" t="s">
        <v>273</v>
      </c>
      <c r="E115" s="36" t="s">
        <v>377</v>
      </c>
      <c r="F115" s="66"/>
    </row>
    <row r="116" spans="1:6" ht="31.5">
      <c r="A116" s="36" t="s">
        <v>218</v>
      </c>
      <c r="B116" s="36" t="s">
        <v>367</v>
      </c>
      <c r="C116" s="37" t="s">
        <v>368</v>
      </c>
      <c r="D116" s="36" t="s">
        <v>356</v>
      </c>
      <c r="E116" s="36" t="s">
        <v>378</v>
      </c>
      <c r="F116" s="66"/>
    </row>
    <row r="117" spans="1:6" ht="31.5">
      <c r="A117" s="36" t="s">
        <v>204</v>
      </c>
      <c r="B117" s="36" t="s">
        <v>358</v>
      </c>
      <c r="C117" s="37" t="s">
        <v>359</v>
      </c>
      <c r="D117" s="36" t="s">
        <v>207</v>
      </c>
      <c r="E117" s="36" t="s">
        <v>379</v>
      </c>
      <c r="F117" s="66"/>
    </row>
    <row r="118" spans="1:6" ht="31.5">
      <c r="A118" s="78">
        <v>21</v>
      </c>
      <c r="B118" s="78" t="s">
        <v>297</v>
      </c>
      <c r="C118" s="79" t="s">
        <v>380</v>
      </c>
      <c r="D118" s="78" t="s">
        <v>214</v>
      </c>
      <c r="E118" s="80" t="s">
        <v>203</v>
      </c>
      <c r="F118" s="73">
        <f>(E119*F119)+(E120*F120)+(E121*F121)</f>
        <v>40.366</v>
      </c>
    </row>
    <row r="119" spans="1:6">
      <c r="A119" s="36" t="s">
        <v>218</v>
      </c>
      <c r="B119" s="36">
        <v>44396</v>
      </c>
      <c r="C119" s="37" t="s">
        <v>381</v>
      </c>
      <c r="D119" s="36" t="s">
        <v>221</v>
      </c>
      <c r="E119" s="41">
        <v>0.1</v>
      </c>
      <c r="F119" s="69">
        <v>48.48</v>
      </c>
    </row>
    <row r="120" spans="1:6">
      <c r="A120" s="36" t="s">
        <v>204</v>
      </c>
      <c r="B120" s="36" t="s">
        <v>382</v>
      </c>
      <c r="C120" s="37" t="s">
        <v>383</v>
      </c>
      <c r="D120" s="36" t="s">
        <v>207</v>
      </c>
      <c r="E120" s="41">
        <v>0.5</v>
      </c>
      <c r="F120" s="69">
        <v>30.86</v>
      </c>
    </row>
    <row r="121" spans="1:6">
      <c r="A121" s="36" t="s">
        <v>204</v>
      </c>
      <c r="B121" s="36" t="s">
        <v>209</v>
      </c>
      <c r="C121" s="37" t="s">
        <v>210</v>
      </c>
      <c r="D121" s="36" t="s">
        <v>207</v>
      </c>
      <c r="E121" s="41">
        <v>0.8</v>
      </c>
      <c r="F121" s="69">
        <f>F31</f>
        <v>25.11</v>
      </c>
    </row>
    <row r="122" spans="1:6" ht="27.75" customHeight="1">
      <c r="A122" s="78">
        <v>22</v>
      </c>
      <c r="B122" s="78">
        <v>96358</v>
      </c>
      <c r="C122" s="79" t="s">
        <v>384</v>
      </c>
      <c r="D122" s="78" t="s">
        <v>214</v>
      </c>
      <c r="E122" s="80" t="s">
        <v>203</v>
      </c>
      <c r="F122" s="73">
        <v>87.06</v>
      </c>
    </row>
    <row r="123" spans="1:6" ht="31.5">
      <c r="A123" s="36" t="s">
        <v>218</v>
      </c>
      <c r="B123" s="36" t="s">
        <v>385</v>
      </c>
      <c r="C123" s="37" t="s">
        <v>386</v>
      </c>
      <c r="D123" s="36" t="s">
        <v>356</v>
      </c>
      <c r="E123" s="38" t="s">
        <v>387</v>
      </c>
      <c r="F123" s="66"/>
    </row>
    <row r="124" spans="1:6" ht="31.5">
      <c r="A124" s="36" t="s">
        <v>218</v>
      </c>
      <c r="B124" s="36" t="s">
        <v>333</v>
      </c>
      <c r="C124" s="37" t="s">
        <v>334</v>
      </c>
      <c r="D124" s="36" t="s">
        <v>214</v>
      </c>
      <c r="E124" s="38" t="s">
        <v>388</v>
      </c>
      <c r="F124" s="66"/>
    </row>
    <row r="125" spans="1:6" ht="31.5">
      <c r="A125" s="36" t="s">
        <v>218</v>
      </c>
      <c r="B125" s="36" t="s">
        <v>389</v>
      </c>
      <c r="C125" s="37" t="s">
        <v>390</v>
      </c>
      <c r="D125" s="36" t="s">
        <v>202</v>
      </c>
      <c r="E125" s="38" t="s">
        <v>391</v>
      </c>
      <c r="F125" s="66"/>
    </row>
    <row r="126" spans="1:6" ht="31.5">
      <c r="A126" s="36" t="s">
        <v>218</v>
      </c>
      <c r="B126" s="36" t="s">
        <v>392</v>
      </c>
      <c r="C126" s="37" t="s">
        <v>393</v>
      </c>
      <c r="D126" s="36" t="s">
        <v>202</v>
      </c>
      <c r="E126" s="38" t="s">
        <v>394</v>
      </c>
      <c r="F126" s="66"/>
    </row>
    <row r="127" spans="1:6" ht="31.5">
      <c r="A127" s="36" t="s">
        <v>218</v>
      </c>
      <c r="B127" s="36" t="s">
        <v>395</v>
      </c>
      <c r="C127" s="37" t="s">
        <v>396</v>
      </c>
      <c r="D127" s="36" t="s">
        <v>202</v>
      </c>
      <c r="E127" s="38" t="s">
        <v>397</v>
      </c>
      <c r="F127" s="66"/>
    </row>
    <row r="128" spans="1:6" ht="31.5">
      <c r="A128" s="36" t="s">
        <v>218</v>
      </c>
      <c r="B128" s="36" t="s">
        <v>342</v>
      </c>
      <c r="C128" s="37" t="s">
        <v>343</v>
      </c>
      <c r="D128" s="36" t="s">
        <v>202</v>
      </c>
      <c r="E128" s="38" t="s">
        <v>398</v>
      </c>
      <c r="F128" s="66"/>
    </row>
    <row r="129" spans="1:6" ht="47.25">
      <c r="A129" s="36" t="s">
        <v>218</v>
      </c>
      <c r="B129" s="36" t="s">
        <v>345</v>
      </c>
      <c r="C129" s="37" t="s">
        <v>346</v>
      </c>
      <c r="D129" s="36" t="s">
        <v>221</v>
      </c>
      <c r="E129" s="38" t="s">
        <v>399</v>
      </c>
      <c r="F129" s="66"/>
    </row>
    <row r="130" spans="1:6" ht="31.5">
      <c r="A130" s="36" t="s">
        <v>218</v>
      </c>
      <c r="B130" s="36" t="s">
        <v>348</v>
      </c>
      <c r="C130" s="37" t="s">
        <v>349</v>
      </c>
      <c r="D130" s="36" t="s">
        <v>273</v>
      </c>
      <c r="E130" s="38" t="s">
        <v>400</v>
      </c>
      <c r="F130" s="66"/>
    </row>
    <row r="131" spans="1:6" ht="31.5">
      <c r="A131" s="36" t="s">
        <v>218</v>
      </c>
      <c r="B131" s="36" t="s">
        <v>351</v>
      </c>
      <c r="C131" s="37" t="s">
        <v>352</v>
      </c>
      <c r="D131" s="36" t="s">
        <v>273</v>
      </c>
      <c r="E131" s="38" t="s">
        <v>401</v>
      </c>
      <c r="F131" s="66"/>
    </row>
    <row r="132" spans="1:6" ht="31.5">
      <c r="A132" s="36" t="s">
        <v>204</v>
      </c>
      <c r="B132" s="36" t="s">
        <v>358</v>
      </c>
      <c r="C132" s="37" t="s">
        <v>359</v>
      </c>
      <c r="D132" s="36" t="s">
        <v>207</v>
      </c>
      <c r="E132" s="38" t="s">
        <v>402</v>
      </c>
      <c r="F132" s="66"/>
    </row>
    <row r="133" spans="1:6">
      <c r="A133" s="36" t="s">
        <v>204</v>
      </c>
      <c r="B133" s="36" t="s">
        <v>209</v>
      </c>
      <c r="C133" s="37" t="s">
        <v>210</v>
      </c>
      <c r="D133" s="36" t="s">
        <v>207</v>
      </c>
      <c r="E133" s="38" t="s">
        <v>403</v>
      </c>
      <c r="F133" s="66"/>
    </row>
    <row r="134" spans="1:6" ht="31.5">
      <c r="A134" s="78">
        <v>23</v>
      </c>
      <c r="B134" s="78" t="s">
        <v>404</v>
      </c>
      <c r="C134" s="79" t="s">
        <v>405</v>
      </c>
      <c r="D134" s="78" t="s">
        <v>214</v>
      </c>
      <c r="E134" s="80" t="s">
        <v>203</v>
      </c>
      <c r="F134" s="73">
        <v>28.01</v>
      </c>
    </row>
    <row r="135" spans="1:6">
      <c r="A135" s="36" t="s">
        <v>218</v>
      </c>
      <c r="B135" s="36" t="s">
        <v>406</v>
      </c>
      <c r="C135" s="37" t="s">
        <v>407</v>
      </c>
      <c r="D135" s="36" t="s">
        <v>221</v>
      </c>
      <c r="E135" s="38" t="s">
        <v>408</v>
      </c>
      <c r="F135" s="69" t="s">
        <v>203</v>
      </c>
    </row>
    <row r="136" spans="1:6">
      <c r="A136" s="36" t="s">
        <v>204</v>
      </c>
      <c r="B136" s="36" t="s">
        <v>278</v>
      </c>
      <c r="C136" s="37" t="s">
        <v>279</v>
      </c>
      <c r="D136" s="36" t="s">
        <v>207</v>
      </c>
      <c r="E136" s="38" t="s">
        <v>409</v>
      </c>
      <c r="F136" s="69" t="s">
        <v>203</v>
      </c>
    </row>
    <row r="137" spans="1:6">
      <c r="A137" s="36" t="s">
        <v>204</v>
      </c>
      <c r="B137" s="36" t="s">
        <v>209</v>
      </c>
      <c r="C137" s="37" t="s">
        <v>210</v>
      </c>
      <c r="D137" s="36" t="s">
        <v>207</v>
      </c>
      <c r="E137" s="38" t="s">
        <v>410</v>
      </c>
      <c r="F137" s="69" t="s">
        <v>203</v>
      </c>
    </row>
    <row r="138" spans="1:6" ht="18.75" customHeight="1">
      <c r="A138" s="78">
        <v>24</v>
      </c>
      <c r="B138" s="78" t="s">
        <v>411</v>
      </c>
      <c r="C138" s="79" t="s">
        <v>412</v>
      </c>
      <c r="D138" s="78" t="s">
        <v>214</v>
      </c>
      <c r="E138" s="80" t="s">
        <v>203</v>
      </c>
      <c r="F138" s="73">
        <v>36.78</v>
      </c>
    </row>
    <row r="139" spans="1:6">
      <c r="A139" s="36" t="s">
        <v>218</v>
      </c>
      <c r="B139" s="36" t="s">
        <v>413</v>
      </c>
      <c r="C139" s="37" t="s">
        <v>414</v>
      </c>
      <c r="D139" s="36" t="s">
        <v>273</v>
      </c>
      <c r="E139" s="38" t="s">
        <v>415</v>
      </c>
      <c r="F139" s="69" t="s">
        <v>203</v>
      </c>
    </row>
    <row r="140" spans="1:6">
      <c r="A140" s="36" t="s">
        <v>218</v>
      </c>
      <c r="B140" s="36" t="s">
        <v>416</v>
      </c>
      <c r="C140" s="37" t="s">
        <v>417</v>
      </c>
      <c r="D140" s="36" t="s">
        <v>418</v>
      </c>
      <c r="E140" s="38" t="s">
        <v>419</v>
      </c>
      <c r="F140" s="69" t="s">
        <v>203</v>
      </c>
    </row>
    <row r="141" spans="1:6">
      <c r="A141" s="36" t="s">
        <v>204</v>
      </c>
      <c r="B141" s="36" t="s">
        <v>278</v>
      </c>
      <c r="C141" s="37" t="s">
        <v>279</v>
      </c>
      <c r="D141" s="36" t="s">
        <v>207</v>
      </c>
      <c r="E141" s="38" t="s">
        <v>420</v>
      </c>
      <c r="F141" s="69" t="s">
        <v>203</v>
      </c>
    </row>
    <row r="142" spans="1:6">
      <c r="A142" s="36" t="s">
        <v>204</v>
      </c>
      <c r="B142" s="36" t="s">
        <v>209</v>
      </c>
      <c r="C142" s="37" t="s">
        <v>210</v>
      </c>
      <c r="D142" s="36" t="s">
        <v>207</v>
      </c>
      <c r="E142" s="38" t="s">
        <v>421</v>
      </c>
      <c r="F142" s="69"/>
    </row>
    <row r="143" spans="1:6" ht="19.5" customHeight="1">
      <c r="A143" s="78">
        <v>25</v>
      </c>
      <c r="B143" s="78" t="s">
        <v>422</v>
      </c>
      <c r="C143" s="79" t="s">
        <v>423</v>
      </c>
      <c r="D143" s="78" t="s">
        <v>214</v>
      </c>
      <c r="E143" s="80" t="s">
        <v>203</v>
      </c>
      <c r="F143" s="73">
        <v>20.53</v>
      </c>
    </row>
    <row r="144" spans="1:6">
      <c r="A144" s="36" t="s">
        <v>218</v>
      </c>
      <c r="B144" s="36" t="s">
        <v>413</v>
      </c>
      <c r="C144" s="37" t="s">
        <v>414</v>
      </c>
      <c r="D144" s="36" t="s">
        <v>273</v>
      </c>
      <c r="E144" s="38" t="s">
        <v>415</v>
      </c>
      <c r="F144" s="66" t="s">
        <v>203</v>
      </c>
    </row>
    <row r="145" spans="1:6" ht="19.5" customHeight="1">
      <c r="A145" s="36" t="s">
        <v>218</v>
      </c>
      <c r="B145" s="36" t="s">
        <v>416</v>
      </c>
      <c r="C145" s="37" t="s">
        <v>417</v>
      </c>
      <c r="D145" s="36" t="s">
        <v>418</v>
      </c>
      <c r="E145" s="38" t="s">
        <v>419</v>
      </c>
      <c r="F145" s="66" t="s">
        <v>203</v>
      </c>
    </row>
    <row r="146" spans="1:6">
      <c r="A146" s="36" t="s">
        <v>204</v>
      </c>
      <c r="B146" s="36" t="s">
        <v>278</v>
      </c>
      <c r="C146" s="37" t="s">
        <v>279</v>
      </c>
      <c r="D146" s="36" t="s">
        <v>207</v>
      </c>
      <c r="E146" s="38" t="s">
        <v>424</v>
      </c>
      <c r="F146" s="66" t="s">
        <v>203</v>
      </c>
    </row>
    <row r="147" spans="1:6" ht="17.25" customHeight="1">
      <c r="A147" s="36" t="s">
        <v>204</v>
      </c>
      <c r="B147" s="36" t="s">
        <v>209</v>
      </c>
      <c r="C147" s="37" t="s">
        <v>210</v>
      </c>
      <c r="D147" s="36" t="s">
        <v>207</v>
      </c>
      <c r="E147" s="38" t="s">
        <v>425</v>
      </c>
      <c r="F147" s="66" t="s">
        <v>203</v>
      </c>
    </row>
    <row r="148" spans="1:6" ht="31.5">
      <c r="A148" s="78">
        <v>26</v>
      </c>
      <c r="B148" s="78" t="s">
        <v>426</v>
      </c>
      <c r="C148" s="79" t="s">
        <v>427</v>
      </c>
      <c r="D148" s="78" t="s">
        <v>214</v>
      </c>
      <c r="E148" s="80" t="s">
        <v>203</v>
      </c>
      <c r="F148" s="73">
        <v>17.13</v>
      </c>
    </row>
    <row r="149" spans="1:6">
      <c r="A149" s="36" t="s">
        <v>218</v>
      </c>
      <c r="B149" s="36" t="s">
        <v>428</v>
      </c>
      <c r="C149" s="37" t="s">
        <v>429</v>
      </c>
      <c r="D149" s="36" t="s">
        <v>266</v>
      </c>
      <c r="E149" s="38" t="s">
        <v>430</v>
      </c>
      <c r="F149" s="69" t="s">
        <v>203</v>
      </c>
    </row>
    <row r="150" spans="1:6" ht="34.5" customHeight="1">
      <c r="A150" s="36" t="s">
        <v>204</v>
      </c>
      <c r="B150" s="36" t="s">
        <v>278</v>
      </c>
      <c r="C150" s="37" t="s">
        <v>279</v>
      </c>
      <c r="D150" s="36" t="s">
        <v>207</v>
      </c>
      <c r="E150" s="38" t="s">
        <v>431</v>
      </c>
      <c r="F150" s="69" t="s">
        <v>203</v>
      </c>
    </row>
    <row r="151" spans="1:6">
      <c r="A151" s="36" t="s">
        <v>204</v>
      </c>
      <c r="B151" s="36" t="s">
        <v>209</v>
      </c>
      <c r="C151" s="37" t="s">
        <v>210</v>
      </c>
      <c r="D151" s="36" t="s">
        <v>207</v>
      </c>
      <c r="E151" s="38" t="s">
        <v>432</v>
      </c>
      <c r="F151" s="69" t="s">
        <v>203</v>
      </c>
    </row>
    <row r="152" spans="1:6" ht="31.5">
      <c r="A152" s="78">
        <v>27</v>
      </c>
      <c r="B152" s="78" t="s">
        <v>433</v>
      </c>
      <c r="C152" s="79" t="s">
        <v>434</v>
      </c>
      <c r="D152" s="78" t="s">
        <v>214</v>
      </c>
      <c r="E152" s="80" t="s">
        <v>203</v>
      </c>
      <c r="F152" s="73">
        <v>14.4</v>
      </c>
    </row>
    <row r="153" spans="1:6" ht="21" customHeight="1">
      <c r="A153" s="36" t="s">
        <v>218</v>
      </c>
      <c r="B153" s="36" t="s">
        <v>428</v>
      </c>
      <c r="C153" s="37" t="s">
        <v>435</v>
      </c>
      <c r="D153" s="36" t="s">
        <v>266</v>
      </c>
      <c r="E153" s="38" t="s">
        <v>430</v>
      </c>
      <c r="F153" s="69"/>
    </row>
    <row r="154" spans="1:6">
      <c r="A154" s="36" t="s">
        <v>204</v>
      </c>
      <c r="B154" s="36" t="s">
        <v>278</v>
      </c>
      <c r="C154" s="37" t="s">
        <v>279</v>
      </c>
      <c r="D154" s="36" t="s">
        <v>207</v>
      </c>
      <c r="E154" s="38" t="s">
        <v>436</v>
      </c>
      <c r="F154" s="69"/>
    </row>
    <row r="155" spans="1:6">
      <c r="A155" s="36" t="s">
        <v>204</v>
      </c>
      <c r="B155" s="36" t="s">
        <v>209</v>
      </c>
      <c r="C155" s="37" t="s">
        <v>210</v>
      </c>
      <c r="D155" s="36" t="s">
        <v>207</v>
      </c>
      <c r="E155" s="38" t="s">
        <v>437</v>
      </c>
      <c r="F155" s="66"/>
    </row>
    <row r="156" spans="1:6" ht="31.5">
      <c r="A156" s="78">
        <v>28</v>
      </c>
      <c r="B156" s="78" t="s">
        <v>297</v>
      </c>
      <c r="C156" s="79" t="s">
        <v>438</v>
      </c>
      <c r="D156" s="78" t="s">
        <v>214</v>
      </c>
      <c r="E156" s="80" t="s">
        <v>203</v>
      </c>
      <c r="F156" s="73">
        <f>(E157*F157)+(E158*F158)+(E159*F159)+(E160*F160)+(E161*F161)</f>
        <v>27.744</v>
      </c>
    </row>
    <row r="157" spans="1:6">
      <c r="A157" s="36" t="s">
        <v>218</v>
      </c>
      <c r="B157" s="36" t="s">
        <v>413</v>
      </c>
      <c r="C157" s="37" t="s">
        <v>414</v>
      </c>
      <c r="D157" s="36" t="s">
        <v>273</v>
      </c>
      <c r="E157" s="38" t="s">
        <v>439</v>
      </c>
      <c r="F157" s="69">
        <v>1.27</v>
      </c>
    </row>
    <row r="158" spans="1:6">
      <c r="A158" s="36" t="s">
        <v>218</v>
      </c>
      <c r="B158" s="36" t="s">
        <v>440</v>
      </c>
      <c r="C158" s="37" t="s">
        <v>441</v>
      </c>
      <c r="D158" s="36" t="s">
        <v>266</v>
      </c>
      <c r="E158" s="38" t="s">
        <v>442</v>
      </c>
      <c r="F158" s="69">
        <v>18.41</v>
      </c>
    </row>
    <row r="159" spans="1:6">
      <c r="A159" s="36" t="s">
        <v>218</v>
      </c>
      <c r="B159" s="36" t="s">
        <v>443</v>
      </c>
      <c r="C159" s="37" t="s">
        <v>444</v>
      </c>
      <c r="D159" s="36" t="s">
        <v>266</v>
      </c>
      <c r="E159" s="38" t="s">
        <v>293</v>
      </c>
      <c r="F159" s="69">
        <v>48.46</v>
      </c>
    </row>
    <row r="160" spans="1:6">
      <c r="A160" s="36" t="s">
        <v>204</v>
      </c>
      <c r="B160" s="36" t="s">
        <v>278</v>
      </c>
      <c r="C160" s="37" t="s">
        <v>279</v>
      </c>
      <c r="D160" s="36" t="s">
        <v>207</v>
      </c>
      <c r="E160" s="38" t="s">
        <v>439</v>
      </c>
      <c r="F160" s="69">
        <v>34.31</v>
      </c>
    </row>
    <row r="161" spans="1:6">
      <c r="A161" s="36" t="s">
        <v>204</v>
      </c>
      <c r="B161" s="36" t="s">
        <v>209</v>
      </c>
      <c r="C161" s="37" t="s">
        <v>210</v>
      </c>
      <c r="D161" s="36" t="s">
        <v>207</v>
      </c>
      <c r="E161" s="38" t="s">
        <v>445</v>
      </c>
      <c r="F161" s="69">
        <f>F121</f>
        <v>25.11</v>
      </c>
    </row>
    <row r="162" spans="1:6">
      <c r="A162" s="78">
        <v>29</v>
      </c>
      <c r="B162" s="78" t="s">
        <v>297</v>
      </c>
      <c r="C162" s="79" t="s">
        <v>446</v>
      </c>
      <c r="D162" s="78" t="s">
        <v>214</v>
      </c>
      <c r="E162" s="80" t="s">
        <v>203</v>
      </c>
      <c r="F162" s="73">
        <f>(E163*F163)+(E164*F164)+(E165*F165)+(E166*F166)+(E167*F167)</f>
        <v>31.917888000000005</v>
      </c>
    </row>
    <row r="163" spans="1:6">
      <c r="A163" s="36" t="s">
        <v>218</v>
      </c>
      <c r="B163" s="36" t="s">
        <v>413</v>
      </c>
      <c r="C163" s="37" t="s">
        <v>414</v>
      </c>
      <c r="D163" s="36" t="s">
        <v>273</v>
      </c>
      <c r="E163" s="38" t="s">
        <v>301</v>
      </c>
      <c r="F163" s="69">
        <f>F157</f>
        <v>1.27</v>
      </c>
    </row>
    <row r="164" spans="1:6">
      <c r="A164" s="36" t="s">
        <v>218</v>
      </c>
      <c r="B164" s="36" t="s">
        <v>440</v>
      </c>
      <c r="C164" s="37" t="s">
        <v>441</v>
      </c>
      <c r="D164" s="36" t="s">
        <v>266</v>
      </c>
      <c r="E164" s="38" t="s">
        <v>447</v>
      </c>
      <c r="F164" s="69">
        <f t="shared" ref="F164:F167" si="0">F158</f>
        <v>18.41</v>
      </c>
    </row>
    <row r="165" spans="1:6" ht="31.5">
      <c r="A165" s="36" t="s">
        <v>218</v>
      </c>
      <c r="B165" s="36" t="s">
        <v>448</v>
      </c>
      <c r="C165" s="37" t="s">
        <v>449</v>
      </c>
      <c r="D165" s="36" t="s">
        <v>266</v>
      </c>
      <c r="E165" s="38" t="s">
        <v>230</v>
      </c>
      <c r="F165" s="69">
        <v>31.59</v>
      </c>
    </row>
    <row r="166" spans="1:6">
      <c r="A166" s="36" t="s">
        <v>204</v>
      </c>
      <c r="B166" s="36" t="s">
        <v>278</v>
      </c>
      <c r="C166" s="37" t="s">
        <v>279</v>
      </c>
      <c r="D166" s="36" t="s">
        <v>207</v>
      </c>
      <c r="E166" s="38" t="s">
        <v>439</v>
      </c>
      <c r="F166" s="69">
        <f t="shared" si="0"/>
        <v>34.31</v>
      </c>
    </row>
    <row r="167" spans="1:6">
      <c r="A167" s="36" t="s">
        <v>204</v>
      </c>
      <c r="B167" s="36" t="s">
        <v>209</v>
      </c>
      <c r="C167" s="37" t="s">
        <v>210</v>
      </c>
      <c r="D167" s="36" t="s">
        <v>207</v>
      </c>
      <c r="E167" s="38" t="s">
        <v>450</v>
      </c>
      <c r="F167" s="69">
        <f t="shared" si="0"/>
        <v>25.11</v>
      </c>
    </row>
    <row r="168" spans="1:6" ht="31.5">
      <c r="A168" s="78">
        <v>30</v>
      </c>
      <c r="B168" s="78" t="s">
        <v>297</v>
      </c>
      <c r="C168" s="79" t="s">
        <v>451</v>
      </c>
      <c r="D168" s="78" t="s">
        <v>214</v>
      </c>
      <c r="E168" s="80" t="s">
        <v>203</v>
      </c>
      <c r="F168" s="73">
        <f>(E169*F169)+(E170*F170)+(E171*F171)+(E172*F172)+(E173*F173)</f>
        <v>55.675100000000008</v>
      </c>
    </row>
    <row r="169" spans="1:6" ht="21" customHeight="1">
      <c r="A169" s="36" t="s">
        <v>218</v>
      </c>
      <c r="B169" s="36" t="s">
        <v>452</v>
      </c>
      <c r="C169" s="37" t="s">
        <v>453</v>
      </c>
      <c r="D169" s="36" t="s">
        <v>273</v>
      </c>
      <c r="E169" s="38" t="s">
        <v>450</v>
      </c>
      <c r="F169" s="69">
        <v>3.79</v>
      </c>
    </row>
    <row r="170" spans="1:6">
      <c r="A170" s="36" t="s">
        <v>218</v>
      </c>
      <c r="B170" s="36" t="s">
        <v>440</v>
      </c>
      <c r="C170" s="37" t="s">
        <v>441</v>
      </c>
      <c r="D170" s="36" t="s">
        <v>266</v>
      </c>
      <c r="E170" s="38" t="s">
        <v>454</v>
      </c>
      <c r="F170" s="69">
        <f>F164</f>
        <v>18.41</v>
      </c>
    </row>
    <row r="171" spans="1:6" ht="31.5">
      <c r="A171" s="36" t="s">
        <v>218</v>
      </c>
      <c r="B171" s="36" t="s">
        <v>455</v>
      </c>
      <c r="C171" s="37" t="s">
        <v>456</v>
      </c>
      <c r="D171" s="36" t="s">
        <v>266</v>
      </c>
      <c r="E171" s="38" t="s">
        <v>457</v>
      </c>
      <c r="F171" s="69">
        <v>50.68</v>
      </c>
    </row>
    <row r="172" spans="1:6">
      <c r="A172" s="36" t="s">
        <v>204</v>
      </c>
      <c r="B172" s="36" t="s">
        <v>278</v>
      </c>
      <c r="C172" s="37" t="s">
        <v>279</v>
      </c>
      <c r="D172" s="36" t="s">
        <v>207</v>
      </c>
      <c r="E172" s="38" t="s">
        <v>458</v>
      </c>
      <c r="F172" s="69">
        <f>F166</f>
        <v>34.31</v>
      </c>
    </row>
    <row r="173" spans="1:6">
      <c r="A173" s="36" t="s">
        <v>204</v>
      </c>
      <c r="B173" s="36" t="s">
        <v>209</v>
      </c>
      <c r="C173" s="37" t="s">
        <v>210</v>
      </c>
      <c r="D173" s="36" t="s">
        <v>207</v>
      </c>
      <c r="E173" s="38" t="s">
        <v>458</v>
      </c>
      <c r="F173" s="69">
        <f>F167</f>
        <v>25.11</v>
      </c>
    </row>
    <row r="174" spans="1:6" s="33" customFormat="1" ht="31.5">
      <c r="A174" s="78">
        <v>31</v>
      </c>
      <c r="B174" s="78" t="s">
        <v>297</v>
      </c>
      <c r="C174" s="79" t="s">
        <v>459</v>
      </c>
      <c r="D174" s="78" t="s">
        <v>214</v>
      </c>
      <c r="E174" s="80" t="s">
        <v>203</v>
      </c>
      <c r="F174" s="73">
        <f>(E175*F175)+(E176*F176)+(E177*F177)+(E178*F178)+(E179*F179)</f>
        <v>41.026300000000006</v>
      </c>
    </row>
    <row r="175" spans="1:6" s="33" customFormat="1" ht="20.25" customHeight="1">
      <c r="A175" s="36" t="s">
        <v>218</v>
      </c>
      <c r="B175" s="36" t="s">
        <v>452</v>
      </c>
      <c r="C175" s="37" t="s">
        <v>453</v>
      </c>
      <c r="D175" s="36" t="s">
        <v>273</v>
      </c>
      <c r="E175" s="38" t="s">
        <v>460</v>
      </c>
      <c r="F175" s="69">
        <f>F169</f>
        <v>3.79</v>
      </c>
    </row>
    <row r="176" spans="1:6" s="33" customFormat="1">
      <c r="A176" s="36" t="s">
        <v>218</v>
      </c>
      <c r="B176" s="36" t="s">
        <v>440</v>
      </c>
      <c r="C176" s="37" t="s">
        <v>441</v>
      </c>
      <c r="D176" s="36" t="s">
        <v>266</v>
      </c>
      <c r="E176" s="38" t="s">
        <v>461</v>
      </c>
      <c r="F176" s="69">
        <f>F170</f>
        <v>18.41</v>
      </c>
    </row>
    <row r="177" spans="1:6" s="33" customFormat="1">
      <c r="A177" s="36" t="s">
        <v>218</v>
      </c>
      <c r="B177" s="36" t="s">
        <v>443</v>
      </c>
      <c r="C177" s="37" t="s">
        <v>462</v>
      </c>
      <c r="D177" s="36" t="s">
        <v>266</v>
      </c>
      <c r="E177" s="38" t="s">
        <v>293</v>
      </c>
      <c r="F177" s="69">
        <f>F159</f>
        <v>48.46</v>
      </c>
    </row>
    <row r="178" spans="1:6" s="33" customFormat="1">
      <c r="A178" s="36" t="s">
        <v>204</v>
      </c>
      <c r="B178" s="36" t="s">
        <v>278</v>
      </c>
      <c r="C178" s="37" t="s">
        <v>279</v>
      </c>
      <c r="D178" s="36" t="s">
        <v>207</v>
      </c>
      <c r="E178" s="38" t="s">
        <v>463</v>
      </c>
      <c r="F178" s="69">
        <f>F172</f>
        <v>34.31</v>
      </c>
    </row>
    <row r="179" spans="1:6" s="33" customFormat="1">
      <c r="A179" s="36" t="s">
        <v>204</v>
      </c>
      <c r="B179" s="36" t="s">
        <v>209</v>
      </c>
      <c r="C179" s="37" t="s">
        <v>210</v>
      </c>
      <c r="D179" s="36" t="s">
        <v>207</v>
      </c>
      <c r="E179" s="38" t="s">
        <v>463</v>
      </c>
      <c r="F179" s="69">
        <f>F173</f>
        <v>25.11</v>
      </c>
    </row>
    <row r="180" spans="1:6" s="33" customFormat="1" ht="31.5">
      <c r="A180" s="78">
        <v>32</v>
      </c>
      <c r="B180" s="78" t="s">
        <v>297</v>
      </c>
      <c r="C180" s="79" t="s">
        <v>464</v>
      </c>
      <c r="D180" s="78" t="s">
        <v>214</v>
      </c>
      <c r="E180" s="80" t="s">
        <v>203</v>
      </c>
      <c r="F180" s="73">
        <f>(E181*F181)+(E182*F182)+(E183*F183)+(E184*F184)+(E185*F185)</f>
        <v>10.984366</v>
      </c>
    </row>
    <row r="181" spans="1:6" s="33" customFormat="1">
      <c r="A181" s="36" t="s">
        <v>218</v>
      </c>
      <c r="B181" s="36" t="s">
        <v>452</v>
      </c>
      <c r="C181" s="37" t="s">
        <v>453</v>
      </c>
      <c r="D181" s="36" t="s">
        <v>273</v>
      </c>
      <c r="E181" s="38" t="s">
        <v>323</v>
      </c>
      <c r="F181" s="69">
        <f>F175</f>
        <v>3.79</v>
      </c>
    </row>
    <row r="182" spans="1:6" s="33" customFormat="1">
      <c r="A182" s="36" t="s">
        <v>218</v>
      </c>
      <c r="B182" s="36" t="s">
        <v>440</v>
      </c>
      <c r="C182" s="37" t="s">
        <v>441</v>
      </c>
      <c r="D182" s="36" t="s">
        <v>266</v>
      </c>
      <c r="E182" s="38" t="s">
        <v>274</v>
      </c>
      <c r="F182" s="69">
        <f>F176</f>
        <v>18.41</v>
      </c>
    </row>
    <row r="183" spans="1:6" s="33" customFormat="1">
      <c r="A183" s="36" t="s">
        <v>218</v>
      </c>
      <c r="B183" s="36">
        <v>7307</v>
      </c>
      <c r="C183" s="37" t="s">
        <v>465</v>
      </c>
      <c r="D183" s="36" t="s">
        <v>266</v>
      </c>
      <c r="E183" s="44">
        <f>0.0067*18</f>
        <v>0.1206</v>
      </c>
      <c r="F183" s="69">
        <v>50.61</v>
      </c>
    </row>
    <row r="184" spans="1:6" s="33" customFormat="1">
      <c r="A184" s="36" t="s">
        <v>204</v>
      </c>
      <c r="B184" s="36" t="s">
        <v>278</v>
      </c>
      <c r="C184" s="37" t="s">
        <v>279</v>
      </c>
      <c r="D184" s="36" t="s">
        <v>207</v>
      </c>
      <c r="E184" s="38" t="s">
        <v>466</v>
      </c>
      <c r="F184" s="69">
        <f>F178</f>
        <v>34.31</v>
      </c>
    </row>
    <row r="185" spans="1:6">
      <c r="A185" s="36" t="s">
        <v>204</v>
      </c>
      <c r="B185" s="36" t="s">
        <v>209</v>
      </c>
      <c r="C185" s="37" t="s">
        <v>210</v>
      </c>
      <c r="D185" s="36" t="s">
        <v>207</v>
      </c>
      <c r="E185" s="38" t="s">
        <v>442</v>
      </c>
      <c r="F185" s="69">
        <f>F179</f>
        <v>25.11</v>
      </c>
    </row>
    <row r="186" spans="1:6">
      <c r="A186" s="78">
        <v>33</v>
      </c>
      <c r="B186" s="71" t="s">
        <v>297</v>
      </c>
      <c r="C186" s="72" t="s">
        <v>467</v>
      </c>
      <c r="D186" s="71" t="s">
        <v>214</v>
      </c>
      <c r="E186" s="86"/>
      <c r="F186" s="73">
        <f>(E187*F187)+(E188*F188)+(E189*F189)+(E190*F190)+(E191*F191)</f>
        <v>41.026300000000006</v>
      </c>
    </row>
    <row r="187" spans="1:6">
      <c r="A187" s="36" t="s">
        <v>218</v>
      </c>
      <c r="B187" s="36" t="s">
        <v>452</v>
      </c>
      <c r="C187" s="37" t="s">
        <v>453</v>
      </c>
      <c r="D187" s="36" t="s">
        <v>273</v>
      </c>
      <c r="E187" s="38" t="s">
        <v>460</v>
      </c>
      <c r="F187" s="69">
        <f>F175</f>
        <v>3.79</v>
      </c>
    </row>
    <row r="188" spans="1:6">
      <c r="A188" s="36" t="s">
        <v>218</v>
      </c>
      <c r="B188" s="36" t="s">
        <v>440</v>
      </c>
      <c r="C188" s="37" t="s">
        <v>441</v>
      </c>
      <c r="D188" s="36" t="s">
        <v>266</v>
      </c>
      <c r="E188" s="38" t="s">
        <v>461</v>
      </c>
      <c r="F188" s="69">
        <f t="shared" ref="F188:F191" si="1">F176</f>
        <v>18.41</v>
      </c>
    </row>
    <row r="189" spans="1:6">
      <c r="A189" s="36" t="s">
        <v>218</v>
      </c>
      <c r="B189" s="36" t="s">
        <v>443</v>
      </c>
      <c r="C189" s="37" t="s">
        <v>468</v>
      </c>
      <c r="D189" s="36" t="s">
        <v>266</v>
      </c>
      <c r="E189" s="38" t="s">
        <v>293</v>
      </c>
      <c r="F189" s="69">
        <f t="shared" si="1"/>
        <v>48.46</v>
      </c>
    </row>
    <row r="190" spans="1:6">
      <c r="A190" s="36" t="s">
        <v>204</v>
      </c>
      <c r="B190" s="36" t="s">
        <v>278</v>
      </c>
      <c r="C190" s="37" t="s">
        <v>279</v>
      </c>
      <c r="D190" s="36" t="s">
        <v>207</v>
      </c>
      <c r="E190" s="38" t="s">
        <v>463</v>
      </c>
      <c r="F190" s="69">
        <f t="shared" si="1"/>
        <v>34.31</v>
      </c>
    </row>
    <row r="191" spans="1:6">
      <c r="A191" s="36" t="s">
        <v>204</v>
      </c>
      <c r="B191" s="36" t="s">
        <v>209</v>
      </c>
      <c r="C191" s="37" t="s">
        <v>210</v>
      </c>
      <c r="D191" s="36" t="s">
        <v>207</v>
      </c>
      <c r="E191" s="38" t="s">
        <v>463</v>
      </c>
      <c r="F191" s="69">
        <f t="shared" si="1"/>
        <v>25.11</v>
      </c>
    </row>
    <row r="192" spans="1:6" ht="31.5">
      <c r="A192" s="78">
        <v>34</v>
      </c>
      <c r="B192" s="78" t="s">
        <v>297</v>
      </c>
      <c r="C192" s="79" t="s">
        <v>1789</v>
      </c>
      <c r="D192" s="78" t="s">
        <v>214</v>
      </c>
      <c r="E192" s="80" t="s">
        <v>203</v>
      </c>
      <c r="F192" s="73">
        <f>(E193*F193)+(E194*F194)+(E195*F195)+(E196*F196)</f>
        <v>120.3486</v>
      </c>
    </row>
    <row r="193" spans="1:6" ht="26.25" customHeight="1">
      <c r="A193" s="36" t="s">
        <v>218</v>
      </c>
      <c r="B193" s="36">
        <v>3410</v>
      </c>
      <c r="C193" s="37" t="s">
        <v>469</v>
      </c>
      <c r="D193" s="36" t="s">
        <v>221</v>
      </c>
      <c r="E193" s="38" t="s">
        <v>470</v>
      </c>
      <c r="F193" s="69">
        <v>45.47</v>
      </c>
    </row>
    <row r="194" spans="1:6">
      <c r="A194" s="36" t="s">
        <v>218</v>
      </c>
      <c r="B194" s="36">
        <v>1340</v>
      </c>
      <c r="C194" s="37" t="s">
        <v>471</v>
      </c>
      <c r="D194" s="36" t="s">
        <v>214</v>
      </c>
      <c r="E194" s="38" t="s">
        <v>472</v>
      </c>
      <c r="F194" s="69">
        <v>51.7</v>
      </c>
    </row>
    <row r="195" spans="1:6" s="33" customFormat="1">
      <c r="A195" s="36" t="s">
        <v>204</v>
      </c>
      <c r="B195" s="36" t="s">
        <v>382</v>
      </c>
      <c r="C195" s="37" t="s">
        <v>383</v>
      </c>
      <c r="D195" s="36" t="s">
        <v>207</v>
      </c>
      <c r="E195" s="38" t="s">
        <v>473</v>
      </c>
      <c r="F195" s="69">
        <f>F120</f>
        <v>30.86</v>
      </c>
    </row>
    <row r="196" spans="1:6" s="33" customFormat="1">
      <c r="A196" s="36" t="s">
        <v>204</v>
      </c>
      <c r="B196" s="36" t="s">
        <v>209</v>
      </c>
      <c r="C196" s="37" t="s">
        <v>210</v>
      </c>
      <c r="D196" s="36" t="s">
        <v>207</v>
      </c>
      <c r="E196" s="38" t="s">
        <v>474</v>
      </c>
      <c r="F196" s="69">
        <f>F191</f>
        <v>25.11</v>
      </c>
    </row>
    <row r="197" spans="1:6" s="33" customFormat="1" ht="21.75" customHeight="1">
      <c r="A197" s="78">
        <v>35</v>
      </c>
      <c r="B197" s="78" t="s">
        <v>297</v>
      </c>
      <c r="C197" s="79" t="s">
        <v>475</v>
      </c>
      <c r="D197" s="78" t="s">
        <v>202</v>
      </c>
      <c r="E197" s="80" t="s">
        <v>203</v>
      </c>
      <c r="F197" s="73">
        <f>(E198*F198)+(E199*F199)+(E200*F200)</f>
        <v>64.897999999999996</v>
      </c>
    </row>
    <row r="198" spans="1:6" s="33" customFormat="1">
      <c r="A198" s="36" t="s">
        <v>218</v>
      </c>
      <c r="B198" s="36" t="s">
        <v>476</v>
      </c>
      <c r="C198" s="37" t="s">
        <v>477</v>
      </c>
      <c r="D198" s="36" t="s">
        <v>202</v>
      </c>
      <c r="E198" s="38" t="s">
        <v>301</v>
      </c>
      <c r="F198" s="69">
        <v>35.24</v>
      </c>
    </row>
    <row r="199" spans="1:6" s="33" customFormat="1">
      <c r="A199" s="36" t="s">
        <v>204</v>
      </c>
      <c r="B199" s="36" t="s">
        <v>205</v>
      </c>
      <c r="C199" s="37" t="s">
        <v>206</v>
      </c>
      <c r="D199" s="36" t="s">
        <v>207</v>
      </c>
      <c r="E199" s="38" t="s">
        <v>460</v>
      </c>
      <c r="F199" s="69">
        <v>32.69</v>
      </c>
    </row>
    <row r="200" spans="1:6" s="33" customFormat="1">
      <c r="A200" s="36" t="s">
        <v>204</v>
      </c>
      <c r="B200" s="36" t="s">
        <v>209</v>
      </c>
      <c r="C200" s="37" t="s">
        <v>210</v>
      </c>
      <c r="D200" s="36" t="s">
        <v>207</v>
      </c>
      <c r="E200" s="38" t="s">
        <v>439</v>
      </c>
      <c r="F200" s="69">
        <f>F196</f>
        <v>25.11</v>
      </c>
    </row>
    <row r="201" spans="1:6" s="33" customFormat="1" ht="19.5" customHeight="1">
      <c r="A201" s="78">
        <v>36</v>
      </c>
      <c r="B201" s="78" t="s">
        <v>297</v>
      </c>
      <c r="C201" s="79" t="s">
        <v>478</v>
      </c>
      <c r="D201" s="78" t="s">
        <v>214</v>
      </c>
      <c r="E201" s="80" t="s">
        <v>203</v>
      </c>
      <c r="F201" s="73">
        <f>(E202*F202)+(E203*F203)+(E204*F204)+(E205*F205)</f>
        <v>105.6645</v>
      </c>
    </row>
    <row r="202" spans="1:6" s="33" customFormat="1" ht="31.5">
      <c r="A202" s="36" t="s">
        <v>218</v>
      </c>
      <c r="B202" s="36" t="s">
        <v>479</v>
      </c>
      <c r="C202" s="37" t="s">
        <v>480</v>
      </c>
      <c r="D202" s="36" t="s">
        <v>221</v>
      </c>
      <c r="E202" s="38" t="s">
        <v>481</v>
      </c>
      <c r="F202" s="69">
        <v>17.510000000000002</v>
      </c>
    </row>
    <row r="203" spans="1:6" s="33" customFormat="1" ht="31.5">
      <c r="A203" s="36" t="s">
        <v>218</v>
      </c>
      <c r="B203" s="36" t="s">
        <v>482</v>
      </c>
      <c r="C203" s="37" t="s">
        <v>483</v>
      </c>
      <c r="D203" s="36" t="s">
        <v>214</v>
      </c>
      <c r="E203" s="38" t="s">
        <v>472</v>
      </c>
      <c r="F203" s="69">
        <v>17.489999999999998</v>
      </c>
    </row>
    <row r="204" spans="1:6" s="33" customFormat="1">
      <c r="A204" s="36" t="s">
        <v>204</v>
      </c>
      <c r="B204" s="36" t="s">
        <v>484</v>
      </c>
      <c r="C204" s="37" t="s">
        <v>327</v>
      </c>
      <c r="D204" s="36" t="s">
        <v>207</v>
      </c>
      <c r="E204" s="38" t="s">
        <v>460</v>
      </c>
      <c r="F204" s="69">
        <f>F78</f>
        <v>32.840000000000003</v>
      </c>
    </row>
    <row r="205" spans="1:6" s="33" customFormat="1">
      <c r="A205" s="36" t="s">
        <v>204</v>
      </c>
      <c r="B205" s="36" t="s">
        <v>209</v>
      </c>
      <c r="C205" s="37" t="s">
        <v>210</v>
      </c>
      <c r="D205" s="36" t="s">
        <v>207</v>
      </c>
      <c r="E205" s="38" t="s">
        <v>460</v>
      </c>
      <c r="F205" s="69">
        <f>F200</f>
        <v>25.11</v>
      </c>
    </row>
    <row r="206" spans="1:6" s="33" customFormat="1">
      <c r="A206" s="78">
        <v>37</v>
      </c>
      <c r="B206" s="78" t="s">
        <v>297</v>
      </c>
      <c r="C206" s="79" t="s">
        <v>485</v>
      </c>
      <c r="D206" s="78" t="s">
        <v>214</v>
      </c>
      <c r="E206" s="80"/>
      <c r="F206" s="80">
        <f>E207*F207</f>
        <v>133.72</v>
      </c>
    </row>
    <row r="207" spans="1:6" s="33" customFormat="1" ht="18.75" customHeight="1">
      <c r="A207" s="94"/>
      <c r="B207" s="93" t="s">
        <v>1453</v>
      </c>
      <c r="C207" s="50" t="s">
        <v>485</v>
      </c>
      <c r="D207" s="36" t="s">
        <v>214</v>
      </c>
      <c r="E207" s="140">
        <v>1</v>
      </c>
      <c r="F207" s="467">
        <v>133.72</v>
      </c>
    </row>
    <row r="208" spans="1:6" s="33" customFormat="1">
      <c r="A208" s="78">
        <v>38</v>
      </c>
      <c r="B208" s="78" t="s">
        <v>297</v>
      </c>
      <c r="C208" s="79" t="s">
        <v>1452</v>
      </c>
      <c r="D208" s="78" t="s">
        <v>214</v>
      </c>
      <c r="E208" s="80"/>
      <c r="F208" s="80">
        <f>E209*F209</f>
        <v>421.84</v>
      </c>
    </row>
    <row r="209" spans="1:6" s="33" customFormat="1" ht="47.25">
      <c r="A209" s="94"/>
      <c r="B209" s="4" t="s">
        <v>1453</v>
      </c>
      <c r="C209" s="50" t="s">
        <v>1454</v>
      </c>
      <c r="D209" s="36" t="s">
        <v>214</v>
      </c>
      <c r="E209" s="468">
        <v>1</v>
      </c>
      <c r="F209" s="469">
        <v>421.84</v>
      </c>
    </row>
    <row r="210" spans="1:6" ht="31.5">
      <c r="A210" s="78">
        <v>39</v>
      </c>
      <c r="B210" s="78">
        <v>100659</v>
      </c>
      <c r="C210" s="79" t="s">
        <v>486</v>
      </c>
      <c r="D210" s="78" t="s">
        <v>202</v>
      </c>
      <c r="E210" s="80" t="s">
        <v>203</v>
      </c>
      <c r="F210" s="73">
        <v>15.46</v>
      </c>
    </row>
    <row r="211" spans="1:6" ht="47.25">
      <c r="A211" s="36" t="s">
        <v>218</v>
      </c>
      <c r="B211" s="36" t="s">
        <v>487</v>
      </c>
      <c r="C211" s="37" t="s">
        <v>488</v>
      </c>
      <c r="D211" s="36" t="s">
        <v>202</v>
      </c>
      <c r="E211" s="38" t="s">
        <v>489</v>
      </c>
      <c r="F211" s="66"/>
    </row>
    <row r="212" spans="1:6">
      <c r="A212" s="36" t="s">
        <v>218</v>
      </c>
      <c r="B212" s="36" t="s">
        <v>490</v>
      </c>
      <c r="C212" s="37" t="s">
        <v>491</v>
      </c>
      <c r="D212" s="36" t="s">
        <v>221</v>
      </c>
      <c r="E212" s="38" t="s">
        <v>492</v>
      </c>
      <c r="F212" s="66"/>
    </row>
    <row r="213" spans="1:6">
      <c r="A213" s="36" t="s">
        <v>204</v>
      </c>
      <c r="B213" s="36" t="s">
        <v>382</v>
      </c>
      <c r="C213" s="37" t="s">
        <v>383</v>
      </c>
      <c r="D213" s="36" t="s">
        <v>207</v>
      </c>
      <c r="E213" s="38" t="s">
        <v>493</v>
      </c>
      <c r="F213" s="66"/>
    </row>
    <row r="214" spans="1:6">
      <c r="A214" s="36" t="s">
        <v>204</v>
      </c>
      <c r="B214" s="36" t="s">
        <v>209</v>
      </c>
      <c r="C214" s="37" t="s">
        <v>210</v>
      </c>
      <c r="D214" s="36" t="s">
        <v>207</v>
      </c>
      <c r="E214" s="38" t="s">
        <v>494</v>
      </c>
      <c r="F214" s="66"/>
    </row>
    <row r="215" spans="1:6" ht="47.25">
      <c r="A215" s="78">
        <v>40</v>
      </c>
      <c r="B215" s="78" t="s">
        <v>495</v>
      </c>
      <c r="C215" s="79" t="s">
        <v>496</v>
      </c>
      <c r="D215" s="78" t="s">
        <v>273</v>
      </c>
      <c r="E215" s="80" t="s">
        <v>203</v>
      </c>
      <c r="F215" s="73">
        <v>527.98</v>
      </c>
    </row>
    <row r="216" spans="1:6" ht="31.5">
      <c r="A216" s="36" t="s">
        <v>218</v>
      </c>
      <c r="B216" s="36" t="s">
        <v>497</v>
      </c>
      <c r="C216" s="37" t="s">
        <v>498</v>
      </c>
      <c r="D216" s="36" t="s">
        <v>273</v>
      </c>
      <c r="E216" s="38" t="s">
        <v>481</v>
      </c>
      <c r="F216" s="66" t="s">
        <v>203</v>
      </c>
    </row>
    <row r="217" spans="1:6" ht="47.25">
      <c r="A217" s="36" t="s">
        <v>218</v>
      </c>
      <c r="B217" s="36" t="s">
        <v>499</v>
      </c>
      <c r="C217" s="37" t="s">
        <v>500</v>
      </c>
      <c r="D217" s="36" t="s">
        <v>273</v>
      </c>
      <c r="E217" s="38" t="s">
        <v>301</v>
      </c>
      <c r="F217" s="66" t="s">
        <v>203</v>
      </c>
    </row>
    <row r="218" spans="1:6" ht="31.5">
      <c r="A218" s="36" t="s">
        <v>218</v>
      </c>
      <c r="B218" s="36" t="s">
        <v>501</v>
      </c>
      <c r="C218" s="37" t="s">
        <v>502</v>
      </c>
      <c r="D218" s="36" t="s">
        <v>273</v>
      </c>
      <c r="E218" s="38" t="s">
        <v>503</v>
      </c>
      <c r="F218" s="66" t="s">
        <v>203</v>
      </c>
    </row>
    <row r="219" spans="1:6">
      <c r="A219" s="36" t="s">
        <v>204</v>
      </c>
      <c r="B219" s="36" t="s">
        <v>382</v>
      </c>
      <c r="C219" s="37" t="s">
        <v>383</v>
      </c>
      <c r="D219" s="36" t="s">
        <v>207</v>
      </c>
      <c r="E219" s="38" t="s">
        <v>504</v>
      </c>
      <c r="F219" s="66" t="s">
        <v>203</v>
      </c>
    </row>
    <row r="220" spans="1:6">
      <c r="A220" s="36" t="s">
        <v>204</v>
      </c>
      <c r="B220" s="36" t="s">
        <v>209</v>
      </c>
      <c r="C220" s="37" t="s">
        <v>210</v>
      </c>
      <c r="D220" s="36" t="s">
        <v>207</v>
      </c>
      <c r="E220" s="38" t="s">
        <v>505</v>
      </c>
      <c r="F220" s="66" t="s">
        <v>203</v>
      </c>
    </row>
    <row r="221" spans="1:6" ht="31.5">
      <c r="A221" s="78">
        <v>41</v>
      </c>
      <c r="B221" s="78">
        <v>91341</v>
      </c>
      <c r="C221" s="79" t="s">
        <v>506</v>
      </c>
      <c r="D221" s="78" t="s">
        <v>214</v>
      </c>
      <c r="E221" s="80" t="s">
        <v>203</v>
      </c>
      <c r="F221" s="73">
        <v>666.28</v>
      </c>
    </row>
    <row r="222" spans="1:6" ht="31.5">
      <c r="A222" s="36" t="s">
        <v>218</v>
      </c>
      <c r="B222" s="36" t="s">
        <v>507</v>
      </c>
      <c r="C222" s="37" t="s">
        <v>508</v>
      </c>
      <c r="D222" s="36" t="s">
        <v>509</v>
      </c>
      <c r="E222" s="38" t="s">
        <v>510</v>
      </c>
      <c r="F222" s="69"/>
    </row>
    <row r="223" spans="1:6" ht="31.5">
      <c r="A223" s="36" t="s">
        <v>218</v>
      </c>
      <c r="B223" s="36" t="s">
        <v>511</v>
      </c>
      <c r="C223" s="37" t="s">
        <v>512</v>
      </c>
      <c r="D223" s="36" t="s">
        <v>273</v>
      </c>
      <c r="E223" s="38" t="s">
        <v>513</v>
      </c>
      <c r="F223" s="69"/>
    </row>
    <row r="224" spans="1:6" ht="47.25">
      <c r="A224" s="36" t="s">
        <v>218</v>
      </c>
      <c r="B224" s="36" t="s">
        <v>514</v>
      </c>
      <c r="C224" s="37" t="s">
        <v>515</v>
      </c>
      <c r="D224" s="36" t="s">
        <v>202</v>
      </c>
      <c r="E224" s="38" t="s">
        <v>516</v>
      </c>
      <c r="F224" s="69"/>
    </row>
    <row r="225" spans="1:6" ht="31.5">
      <c r="A225" s="36" t="s">
        <v>218</v>
      </c>
      <c r="B225" s="36" t="s">
        <v>517</v>
      </c>
      <c r="C225" s="37" t="s">
        <v>518</v>
      </c>
      <c r="D225" s="36" t="s">
        <v>273</v>
      </c>
      <c r="E225" s="38" t="s">
        <v>519</v>
      </c>
      <c r="F225" s="69"/>
    </row>
    <row r="226" spans="1:6">
      <c r="A226" s="36" t="s">
        <v>204</v>
      </c>
      <c r="B226" s="36" t="s">
        <v>250</v>
      </c>
      <c r="C226" s="37" t="s">
        <v>251</v>
      </c>
      <c r="D226" s="36" t="s">
        <v>207</v>
      </c>
      <c r="E226" s="38" t="s">
        <v>520</v>
      </c>
      <c r="F226" s="69"/>
    </row>
    <row r="227" spans="1:6">
      <c r="A227" s="36" t="s">
        <v>204</v>
      </c>
      <c r="B227" s="36" t="s">
        <v>209</v>
      </c>
      <c r="C227" s="37" t="s">
        <v>210</v>
      </c>
      <c r="D227" s="36" t="s">
        <v>207</v>
      </c>
      <c r="E227" s="38" t="s">
        <v>521</v>
      </c>
      <c r="F227" s="69"/>
    </row>
    <row r="228" spans="1:6">
      <c r="A228" s="71">
        <v>42</v>
      </c>
      <c r="B228" s="71" t="s">
        <v>522</v>
      </c>
      <c r="C228" s="72" t="s">
        <v>523</v>
      </c>
      <c r="D228" s="71" t="s">
        <v>273</v>
      </c>
      <c r="E228" s="73" t="s">
        <v>203</v>
      </c>
      <c r="F228" s="73">
        <v>1339.96</v>
      </c>
    </row>
    <row r="229" spans="1:6" ht="31.5">
      <c r="A229" s="36" t="s">
        <v>218</v>
      </c>
      <c r="B229" s="36" t="s">
        <v>524</v>
      </c>
      <c r="C229" s="37" t="s">
        <v>525</v>
      </c>
      <c r="D229" s="36" t="s">
        <v>273</v>
      </c>
      <c r="E229" s="38" t="s">
        <v>301</v>
      </c>
      <c r="F229" s="69" t="s">
        <v>203</v>
      </c>
    </row>
    <row r="230" spans="1:6">
      <c r="A230" s="36" t="s">
        <v>204</v>
      </c>
      <c r="B230" s="36" t="s">
        <v>250</v>
      </c>
      <c r="C230" s="37" t="s">
        <v>251</v>
      </c>
      <c r="D230" s="36" t="s">
        <v>207</v>
      </c>
      <c r="E230" s="38" t="s">
        <v>526</v>
      </c>
      <c r="F230" s="69" t="s">
        <v>203</v>
      </c>
    </row>
    <row r="231" spans="1:6">
      <c r="A231" s="36" t="s">
        <v>204</v>
      </c>
      <c r="B231" s="36" t="s">
        <v>209</v>
      </c>
      <c r="C231" s="37" t="s">
        <v>210</v>
      </c>
      <c r="D231" s="36" t="s">
        <v>207</v>
      </c>
      <c r="E231" s="38" t="s">
        <v>527</v>
      </c>
      <c r="F231" s="69" t="s">
        <v>203</v>
      </c>
    </row>
    <row r="232" spans="1:6">
      <c r="A232" s="36" t="s">
        <v>204</v>
      </c>
      <c r="B232" s="36" t="s">
        <v>528</v>
      </c>
      <c r="C232" s="37" t="s">
        <v>529</v>
      </c>
      <c r="D232" s="36" t="s">
        <v>530</v>
      </c>
      <c r="E232" s="38" t="s">
        <v>531</v>
      </c>
      <c r="F232" s="69" t="s">
        <v>203</v>
      </c>
    </row>
    <row r="233" spans="1:6" ht="66.75" customHeight="1">
      <c r="A233" s="71">
        <v>43</v>
      </c>
      <c r="B233" s="71" t="s">
        <v>532</v>
      </c>
      <c r="C233" s="72" t="s">
        <v>533</v>
      </c>
      <c r="D233" s="71" t="s">
        <v>273</v>
      </c>
      <c r="E233" s="73" t="s">
        <v>203</v>
      </c>
      <c r="F233" s="73">
        <v>1470.14</v>
      </c>
    </row>
    <row r="234" spans="1:6" ht="31.5">
      <c r="A234" s="68" t="s">
        <v>204</v>
      </c>
      <c r="B234" s="68" t="s">
        <v>534</v>
      </c>
      <c r="C234" s="67" t="s">
        <v>535</v>
      </c>
      <c r="D234" s="68" t="s">
        <v>273</v>
      </c>
      <c r="E234" s="69" t="s">
        <v>301</v>
      </c>
      <c r="F234" s="66" t="s">
        <v>203</v>
      </c>
    </row>
    <row r="235" spans="1:6" ht="35.25" customHeight="1">
      <c r="A235" s="68" t="s">
        <v>204</v>
      </c>
      <c r="B235" s="68" t="s">
        <v>495</v>
      </c>
      <c r="C235" s="67" t="s">
        <v>536</v>
      </c>
      <c r="D235" s="68" t="s">
        <v>273</v>
      </c>
      <c r="E235" s="69" t="s">
        <v>301</v>
      </c>
      <c r="F235" s="66" t="s">
        <v>203</v>
      </c>
    </row>
    <row r="236" spans="1:6" ht="34.5" customHeight="1">
      <c r="A236" s="68" t="s">
        <v>204</v>
      </c>
      <c r="B236" s="68" t="s">
        <v>537</v>
      </c>
      <c r="C236" s="67" t="s">
        <v>538</v>
      </c>
      <c r="D236" s="68" t="s">
        <v>273</v>
      </c>
      <c r="E236" s="69" t="s">
        <v>301</v>
      </c>
      <c r="F236" s="66" t="s">
        <v>203</v>
      </c>
    </row>
    <row r="237" spans="1:6" ht="31.5">
      <c r="A237" s="68" t="s">
        <v>204</v>
      </c>
      <c r="B237" s="68" t="s">
        <v>539</v>
      </c>
      <c r="C237" s="67" t="s">
        <v>540</v>
      </c>
      <c r="D237" s="68" t="s">
        <v>202</v>
      </c>
      <c r="E237" s="69" t="s">
        <v>541</v>
      </c>
      <c r="F237" s="66" t="s">
        <v>203</v>
      </c>
    </row>
    <row r="238" spans="1:6" ht="47.25">
      <c r="A238" s="71">
        <v>44</v>
      </c>
      <c r="B238" s="71">
        <v>91297</v>
      </c>
      <c r="C238" s="72" t="s">
        <v>542</v>
      </c>
      <c r="D238" s="71" t="s">
        <v>273</v>
      </c>
      <c r="E238" s="73"/>
      <c r="F238" s="73">
        <v>493.68</v>
      </c>
    </row>
    <row r="239" spans="1:6" ht="31.5">
      <c r="A239" s="68" t="s">
        <v>218</v>
      </c>
      <c r="B239" s="68" t="s">
        <v>497</v>
      </c>
      <c r="C239" s="67" t="s">
        <v>498</v>
      </c>
      <c r="D239" s="68" t="s">
        <v>273</v>
      </c>
      <c r="E239" s="69" t="s">
        <v>481</v>
      </c>
      <c r="F239" s="66"/>
    </row>
    <row r="240" spans="1:6" ht="50.25" customHeight="1">
      <c r="A240" s="68" t="s">
        <v>218</v>
      </c>
      <c r="B240" s="68" t="s">
        <v>543</v>
      </c>
      <c r="C240" s="67" t="s">
        <v>544</v>
      </c>
      <c r="D240" s="68" t="s">
        <v>273</v>
      </c>
      <c r="E240" s="69" t="s">
        <v>301</v>
      </c>
      <c r="F240" s="66"/>
    </row>
    <row r="241" spans="1:10" ht="31.5">
      <c r="A241" s="68" t="s">
        <v>218</v>
      </c>
      <c r="B241" s="68" t="s">
        <v>501</v>
      </c>
      <c r="C241" s="67" t="s">
        <v>502</v>
      </c>
      <c r="D241" s="68" t="s">
        <v>273</v>
      </c>
      <c r="E241" s="69" t="s">
        <v>503</v>
      </c>
      <c r="F241" s="66"/>
    </row>
    <row r="242" spans="1:10">
      <c r="A242" s="68" t="s">
        <v>204</v>
      </c>
      <c r="B242" s="68" t="s">
        <v>382</v>
      </c>
      <c r="C242" s="67" t="s">
        <v>383</v>
      </c>
      <c r="D242" s="68" t="s">
        <v>207</v>
      </c>
      <c r="E242" s="69" t="s">
        <v>545</v>
      </c>
      <c r="F242" s="66"/>
    </row>
    <row r="243" spans="1:10">
      <c r="A243" s="68" t="s">
        <v>204</v>
      </c>
      <c r="B243" s="68" t="s">
        <v>209</v>
      </c>
      <c r="C243" s="67" t="s">
        <v>210</v>
      </c>
      <c r="D243" s="68" t="s">
        <v>207</v>
      </c>
      <c r="E243" s="69" t="s">
        <v>546</v>
      </c>
      <c r="F243" s="66"/>
    </row>
    <row r="244" spans="1:10">
      <c r="A244" s="78">
        <v>45</v>
      </c>
      <c r="B244" s="78" t="s">
        <v>297</v>
      </c>
      <c r="C244" s="79" t="s">
        <v>547</v>
      </c>
      <c r="D244" s="78" t="s">
        <v>214</v>
      </c>
      <c r="E244" s="78"/>
      <c r="F244" s="73">
        <f>(E245*F245)+(E246*F246)+(E247*F247)+(E248*F248)+(E249*F249)</f>
        <v>46.743108888888898</v>
      </c>
    </row>
    <row r="245" spans="1:10">
      <c r="A245" s="36" t="s">
        <v>204</v>
      </c>
      <c r="B245" s="36">
        <v>88310</v>
      </c>
      <c r="C245" s="37" t="s">
        <v>279</v>
      </c>
      <c r="D245" s="36" t="s">
        <v>207</v>
      </c>
      <c r="E245" s="40">
        <v>0.21</v>
      </c>
      <c r="F245" s="69">
        <f>F178</f>
        <v>34.31</v>
      </c>
    </row>
    <row r="246" spans="1:10">
      <c r="A246" s="36" t="s">
        <v>204</v>
      </c>
      <c r="B246" s="36">
        <v>88316</v>
      </c>
      <c r="C246" s="37" t="s">
        <v>210</v>
      </c>
      <c r="D246" s="36" t="s">
        <v>207</v>
      </c>
      <c r="E246" s="40">
        <v>0.11</v>
      </c>
      <c r="F246" s="69">
        <f>F205</f>
        <v>25.11</v>
      </c>
    </row>
    <row r="247" spans="1:10">
      <c r="A247" s="36" t="s">
        <v>218</v>
      </c>
      <c r="B247" s="36">
        <v>3768</v>
      </c>
      <c r="C247" s="37" t="s">
        <v>453</v>
      </c>
      <c r="D247" s="36" t="s">
        <v>79</v>
      </c>
      <c r="E247" s="40">
        <v>0.55000000000000004</v>
      </c>
      <c r="F247" s="69">
        <v>3.79</v>
      </c>
    </row>
    <row r="248" spans="1:10" s="33" customFormat="1">
      <c r="A248" s="36" t="s">
        <v>218</v>
      </c>
      <c r="B248" s="39" t="s">
        <v>194</v>
      </c>
      <c r="C248" s="37" t="s">
        <v>548</v>
      </c>
      <c r="D248" s="36" t="s">
        <v>266</v>
      </c>
      <c r="E248" s="40">
        <v>0.17599999999999999</v>
      </c>
      <c r="F248" s="69">
        <f>AVERAGE(H248:J248)</f>
        <v>159.1527777777778</v>
      </c>
      <c r="H248" s="139">
        <f>622.95/3.6</f>
        <v>173.04166666666669</v>
      </c>
      <c r="I248" s="139">
        <f>498.9/3.6</f>
        <v>138.58333333333331</v>
      </c>
      <c r="J248" s="139">
        <f>597/3.6</f>
        <v>165.83333333333334</v>
      </c>
    </row>
    <row r="249" spans="1:10" s="33" customFormat="1">
      <c r="A249" s="36" t="s">
        <v>218</v>
      </c>
      <c r="B249" s="36">
        <v>7307</v>
      </c>
      <c r="C249" s="37" t="s">
        <v>549</v>
      </c>
      <c r="D249" s="36" t="s">
        <v>266</v>
      </c>
      <c r="E249" s="40">
        <v>0.13200000000000001</v>
      </c>
      <c r="F249" s="69">
        <v>50.61</v>
      </c>
    </row>
    <row r="250" spans="1:10" s="33" customFormat="1" ht="31.5">
      <c r="A250" s="78">
        <v>46</v>
      </c>
      <c r="B250" s="78" t="s">
        <v>297</v>
      </c>
      <c r="C250" s="79" t="s">
        <v>550</v>
      </c>
      <c r="D250" s="78" t="s">
        <v>214</v>
      </c>
      <c r="E250" s="80" t="s">
        <v>203</v>
      </c>
      <c r="F250" s="73">
        <f>E251*F251</f>
        <v>37.031999999999996</v>
      </c>
    </row>
    <row r="251" spans="1:10" s="33" customFormat="1">
      <c r="A251" s="36" t="s">
        <v>204</v>
      </c>
      <c r="B251" s="36" t="s">
        <v>382</v>
      </c>
      <c r="C251" s="37" t="s">
        <v>383</v>
      </c>
      <c r="D251" s="36" t="s">
        <v>207</v>
      </c>
      <c r="E251" s="38" t="s">
        <v>551</v>
      </c>
      <c r="F251" s="69">
        <f>F195</f>
        <v>30.86</v>
      </c>
    </row>
    <row r="252" spans="1:10" ht="36" customHeight="1">
      <c r="A252" s="78">
        <v>47</v>
      </c>
      <c r="B252" s="78" t="s">
        <v>297</v>
      </c>
      <c r="C252" s="79" t="s">
        <v>552</v>
      </c>
      <c r="D252" s="78" t="s">
        <v>214</v>
      </c>
      <c r="E252" s="80" t="s">
        <v>203</v>
      </c>
      <c r="F252" s="73">
        <f>(E253*F253)+(E254*F254)+(E255*F255)</f>
        <v>48.276000000000003</v>
      </c>
    </row>
    <row r="253" spans="1:10">
      <c r="A253" s="36" t="s">
        <v>218</v>
      </c>
      <c r="B253" s="36" t="s">
        <v>553</v>
      </c>
      <c r="C253" s="37" t="s">
        <v>554</v>
      </c>
      <c r="D253" s="36" t="s">
        <v>221</v>
      </c>
      <c r="E253" s="38" t="s">
        <v>445</v>
      </c>
      <c r="F253" s="69">
        <v>17.5</v>
      </c>
    </row>
    <row r="254" spans="1:10">
      <c r="A254" s="36" t="s">
        <v>204</v>
      </c>
      <c r="B254" s="36" t="s">
        <v>382</v>
      </c>
      <c r="C254" s="37" t="s">
        <v>383</v>
      </c>
      <c r="D254" s="36" t="s">
        <v>207</v>
      </c>
      <c r="E254" s="38" t="s">
        <v>458</v>
      </c>
      <c r="F254" s="69">
        <f>F251</f>
        <v>30.86</v>
      </c>
    </row>
    <row r="255" spans="1:10">
      <c r="A255" s="36" t="s">
        <v>204</v>
      </c>
      <c r="B255" s="36" t="s">
        <v>209</v>
      </c>
      <c r="C255" s="37" t="s">
        <v>210</v>
      </c>
      <c r="D255" s="36" t="s">
        <v>207</v>
      </c>
      <c r="E255" s="38" t="s">
        <v>458</v>
      </c>
      <c r="F255" s="69">
        <f>F246</f>
        <v>25.11</v>
      </c>
    </row>
    <row r="256" spans="1:10" ht="32.25" customHeight="1">
      <c r="A256" s="78">
        <v>48</v>
      </c>
      <c r="B256" s="78" t="s">
        <v>555</v>
      </c>
      <c r="C256" s="79" t="s">
        <v>556</v>
      </c>
      <c r="D256" s="78" t="s">
        <v>202</v>
      </c>
      <c r="E256" s="78" t="s">
        <v>203</v>
      </c>
      <c r="F256" s="73">
        <v>93.52</v>
      </c>
    </row>
    <row r="257" spans="1:6" ht="31.5">
      <c r="A257" s="36" t="s">
        <v>218</v>
      </c>
      <c r="B257" s="36" t="s">
        <v>511</v>
      </c>
      <c r="C257" s="37" t="s">
        <v>512</v>
      </c>
      <c r="D257" s="36" t="s">
        <v>273</v>
      </c>
      <c r="E257" s="36" t="s">
        <v>557</v>
      </c>
      <c r="F257" s="69" t="s">
        <v>203</v>
      </c>
    </row>
    <row r="258" spans="1:6">
      <c r="A258" s="36" t="s">
        <v>218</v>
      </c>
      <c r="B258" s="36" t="s">
        <v>558</v>
      </c>
      <c r="C258" s="37" t="s">
        <v>559</v>
      </c>
      <c r="D258" s="36" t="s">
        <v>221</v>
      </c>
      <c r="E258" s="36" t="s">
        <v>560</v>
      </c>
      <c r="F258" s="69" t="s">
        <v>203</v>
      </c>
    </row>
    <row r="259" spans="1:6">
      <c r="A259" s="36" t="s">
        <v>218</v>
      </c>
      <c r="B259" s="36" t="s">
        <v>561</v>
      </c>
      <c r="C259" s="37" t="s">
        <v>562</v>
      </c>
      <c r="D259" s="36" t="s">
        <v>273</v>
      </c>
      <c r="E259" s="36" t="s">
        <v>563</v>
      </c>
      <c r="F259" s="69" t="s">
        <v>203</v>
      </c>
    </row>
    <row r="260" spans="1:6" ht="31.5">
      <c r="A260" s="36" t="s">
        <v>218</v>
      </c>
      <c r="B260" s="36" t="s">
        <v>564</v>
      </c>
      <c r="C260" s="37" t="s">
        <v>565</v>
      </c>
      <c r="D260" s="36" t="s">
        <v>202</v>
      </c>
      <c r="E260" s="36" t="s">
        <v>566</v>
      </c>
      <c r="F260" s="69" t="s">
        <v>203</v>
      </c>
    </row>
    <row r="261" spans="1:6">
      <c r="A261" s="36" t="s">
        <v>204</v>
      </c>
      <c r="B261" s="36" t="s">
        <v>567</v>
      </c>
      <c r="C261" s="37" t="s">
        <v>568</v>
      </c>
      <c r="D261" s="36" t="s">
        <v>207</v>
      </c>
      <c r="E261" s="36" t="s">
        <v>569</v>
      </c>
      <c r="F261" s="69" t="s">
        <v>203</v>
      </c>
    </row>
    <row r="262" spans="1:6">
      <c r="A262" s="36" t="s">
        <v>204</v>
      </c>
      <c r="B262" s="36" t="s">
        <v>570</v>
      </c>
      <c r="C262" s="37" t="s">
        <v>571</v>
      </c>
      <c r="D262" s="36" t="s">
        <v>207</v>
      </c>
      <c r="E262" s="36" t="s">
        <v>572</v>
      </c>
      <c r="F262" s="69" t="s">
        <v>203</v>
      </c>
    </row>
    <row r="263" spans="1:6">
      <c r="A263" s="78">
        <v>49</v>
      </c>
      <c r="B263" s="78" t="s">
        <v>573</v>
      </c>
      <c r="C263" s="79" t="s">
        <v>574</v>
      </c>
      <c r="D263" s="78" t="s">
        <v>202</v>
      </c>
      <c r="E263" s="78" t="s">
        <v>203</v>
      </c>
      <c r="F263" s="73">
        <v>65.98</v>
      </c>
    </row>
    <row r="264" spans="1:6" ht="30" customHeight="1">
      <c r="A264" s="36" t="s">
        <v>218</v>
      </c>
      <c r="B264" s="36" t="s">
        <v>575</v>
      </c>
      <c r="C264" s="37" t="s">
        <v>576</v>
      </c>
      <c r="D264" s="36" t="s">
        <v>221</v>
      </c>
      <c r="E264" s="36" t="s">
        <v>577</v>
      </c>
      <c r="F264" s="66" t="s">
        <v>203</v>
      </c>
    </row>
    <row r="265" spans="1:6" ht="31.5">
      <c r="A265" s="36" t="s">
        <v>218</v>
      </c>
      <c r="B265" s="36" t="s">
        <v>511</v>
      </c>
      <c r="C265" s="37" t="s">
        <v>512</v>
      </c>
      <c r="D265" s="36" t="s">
        <v>273</v>
      </c>
      <c r="E265" s="36" t="s">
        <v>578</v>
      </c>
      <c r="F265" s="66" t="s">
        <v>203</v>
      </c>
    </row>
    <row r="266" spans="1:6">
      <c r="A266" s="36" t="s">
        <v>218</v>
      </c>
      <c r="B266" s="36" t="s">
        <v>561</v>
      </c>
      <c r="C266" s="37" t="s">
        <v>562</v>
      </c>
      <c r="D266" s="36" t="s">
        <v>273</v>
      </c>
      <c r="E266" s="36" t="s">
        <v>563</v>
      </c>
      <c r="F266" s="66" t="s">
        <v>203</v>
      </c>
    </row>
    <row r="267" spans="1:6">
      <c r="A267" s="36" t="s">
        <v>218</v>
      </c>
      <c r="B267" s="36" t="s">
        <v>579</v>
      </c>
      <c r="C267" s="37" t="s">
        <v>580</v>
      </c>
      <c r="D267" s="36" t="s">
        <v>221</v>
      </c>
      <c r="E267" s="36" t="s">
        <v>581</v>
      </c>
      <c r="F267" s="66" t="s">
        <v>203</v>
      </c>
    </row>
    <row r="268" spans="1:6">
      <c r="A268" s="36" t="s">
        <v>204</v>
      </c>
      <c r="B268" s="36" t="s">
        <v>567</v>
      </c>
      <c r="C268" s="37" t="s">
        <v>568</v>
      </c>
      <c r="D268" s="36" t="s">
        <v>207</v>
      </c>
      <c r="E268" s="36" t="s">
        <v>582</v>
      </c>
      <c r="F268" s="66" t="s">
        <v>203</v>
      </c>
    </row>
    <row r="269" spans="1:6" s="33" customFormat="1">
      <c r="A269" s="36" t="s">
        <v>204</v>
      </c>
      <c r="B269" s="36" t="s">
        <v>570</v>
      </c>
      <c r="C269" s="37" t="s">
        <v>571</v>
      </c>
      <c r="D269" s="36" t="s">
        <v>207</v>
      </c>
      <c r="E269" s="36" t="s">
        <v>583</v>
      </c>
      <c r="F269" s="66" t="s">
        <v>203</v>
      </c>
    </row>
    <row r="270" spans="1:6">
      <c r="A270" s="78">
        <v>50</v>
      </c>
      <c r="B270" s="78" t="s">
        <v>297</v>
      </c>
      <c r="C270" s="79" t="s">
        <v>584</v>
      </c>
      <c r="D270" s="78" t="s">
        <v>214</v>
      </c>
      <c r="E270" s="78" t="s">
        <v>203</v>
      </c>
      <c r="F270" s="73">
        <f>(E271*F271)+(E272*F272)+(E273*F273)+(E274*F274)+(E275*F275)</f>
        <v>119.65279799999999</v>
      </c>
    </row>
    <row r="271" spans="1:6">
      <c r="A271" s="36" t="s">
        <v>218</v>
      </c>
      <c r="B271" s="36" t="s">
        <v>585</v>
      </c>
      <c r="C271" s="37" t="s">
        <v>586</v>
      </c>
      <c r="D271" s="36" t="s">
        <v>221</v>
      </c>
      <c r="E271" s="36" t="s">
        <v>587</v>
      </c>
      <c r="F271" s="69">
        <v>33.86</v>
      </c>
    </row>
    <row r="272" spans="1:6" ht="31.5">
      <c r="A272" s="36" t="s">
        <v>218</v>
      </c>
      <c r="B272" s="68">
        <v>3286</v>
      </c>
      <c r="C272" s="37" t="s">
        <v>588</v>
      </c>
      <c r="D272" s="36" t="s">
        <v>214</v>
      </c>
      <c r="E272" s="36" t="s">
        <v>589</v>
      </c>
      <c r="F272" s="69">
        <v>67.489999999999995</v>
      </c>
    </row>
    <row r="273" spans="1:6">
      <c r="A273" s="36" t="s">
        <v>218</v>
      </c>
      <c r="B273" s="36" t="s">
        <v>590</v>
      </c>
      <c r="C273" s="37" t="s">
        <v>591</v>
      </c>
      <c r="D273" s="36" t="s">
        <v>221</v>
      </c>
      <c r="E273" s="36" t="s">
        <v>592</v>
      </c>
      <c r="F273" s="69">
        <v>48.48</v>
      </c>
    </row>
    <row r="274" spans="1:6">
      <c r="A274" s="36" t="s">
        <v>204</v>
      </c>
      <c r="B274" s="36" t="s">
        <v>209</v>
      </c>
      <c r="C274" s="37" t="s">
        <v>210</v>
      </c>
      <c r="D274" s="36" t="s">
        <v>207</v>
      </c>
      <c r="E274" s="36" t="s">
        <v>593</v>
      </c>
      <c r="F274" s="69">
        <f>F255</f>
        <v>25.11</v>
      </c>
    </row>
    <row r="275" spans="1:6">
      <c r="A275" s="36" t="s">
        <v>204</v>
      </c>
      <c r="B275" s="36">
        <v>88273</v>
      </c>
      <c r="C275" s="37" t="s">
        <v>1455</v>
      </c>
      <c r="D275" s="36" t="s">
        <v>207</v>
      </c>
      <c r="E275" s="36" t="s">
        <v>594</v>
      </c>
      <c r="F275" s="69">
        <v>30.51</v>
      </c>
    </row>
    <row r="276" spans="1:6" ht="31.5">
      <c r="A276" s="78">
        <v>51</v>
      </c>
      <c r="B276" s="78" t="s">
        <v>297</v>
      </c>
      <c r="C276" s="79" t="s">
        <v>595</v>
      </c>
      <c r="D276" s="78" t="s">
        <v>214</v>
      </c>
      <c r="E276" s="78" t="s">
        <v>203</v>
      </c>
      <c r="F276" s="73">
        <f>(E277*F277)+(E278*F278)+(E279*F279)+(E280*F280)</f>
        <v>527.68399999999997</v>
      </c>
    </row>
    <row r="277" spans="1:6" ht="31.5">
      <c r="A277" s="36" t="s">
        <v>218</v>
      </c>
      <c r="B277" s="36" t="s">
        <v>596</v>
      </c>
      <c r="C277" s="37" t="s">
        <v>597</v>
      </c>
      <c r="D277" s="36" t="s">
        <v>273</v>
      </c>
      <c r="E277" s="38" t="s">
        <v>598</v>
      </c>
      <c r="F277" s="69">
        <v>7.83</v>
      </c>
    </row>
    <row r="278" spans="1:6">
      <c r="A278" s="36" t="s">
        <v>218</v>
      </c>
      <c r="B278" s="36" t="s">
        <v>599</v>
      </c>
      <c r="C278" s="37" t="s">
        <v>600</v>
      </c>
      <c r="D278" s="36" t="s">
        <v>214</v>
      </c>
      <c r="E278" s="38" t="s">
        <v>301</v>
      </c>
      <c r="F278" s="69">
        <v>425.7</v>
      </c>
    </row>
    <row r="279" spans="1:6">
      <c r="A279" s="36" t="s">
        <v>204</v>
      </c>
      <c r="B279" s="36" t="s">
        <v>209</v>
      </c>
      <c r="C279" s="37" t="s">
        <v>210</v>
      </c>
      <c r="D279" s="36" t="s">
        <v>207</v>
      </c>
      <c r="E279" s="38" t="s">
        <v>439</v>
      </c>
      <c r="F279" s="69">
        <f>F274</f>
        <v>25.11</v>
      </c>
    </row>
    <row r="280" spans="1:6">
      <c r="A280" s="36" t="s">
        <v>204</v>
      </c>
      <c r="B280" s="36" t="s">
        <v>601</v>
      </c>
      <c r="C280" s="37" t="s">
        <v>602</v>
      </c>
      <c r="D280" s="36" t="s">
        <v>207</v>
      </c>
      <c r="E280" s="38" t="s">
        <v>603</v>
      </c>
      <c r="F280" s="69">
        <v>30.31</v>
      </c>
    </row>
    <row r="281" spans="1:6" ht="31.5">
      <c r="A281" s="78">
        <v>52</v>
      </c>
      <c r="B281" s="78">
        <v>88788</v>
      </c>
      <c r="C281" s="79" t="s">
        <v>604</v>
      </c>
      <c r="D281" s="78" t="s">
        <v>214</v>
      </c>
      <c r="E281" s="78" t="s">
        <v>203</v>
      </c>
      <c r="F281" s="73">
        <v>400.12</v>
      </c>
    </row>
    <row r="282" spans="1:6" ht="31.5">
      <c r="A282" s="36" t="s">
        <v>218</v>
      </c>
      <c r="B282" s="68" t="s">
        <v>605</v>
      </c>
      <c r="C282" s="37" t="s">
        <v>606</v>
      </c>
      <c r="D282" s="36" t="s">
        <v>214</v>
      </c>
      <c r="E282" s="36" t="s">
        <v>233</v>
      </c>
      <c r="F282" s="66" t="s">
        <v>203</v>
      </c>
    </row>
    <row r="283" spans="1:6">
      <c r="A283" s="36" t="s">
        <v>218</v>
      </c>
      <c r="B283" s="36" t="s">
        <v>607</v>
      </c>
      <c r="C283" s="37" t="s">
        <v>608</v>
      </c>
      <c r="D283" s="36" t="s">
        <v>221</v>
      </c>
      <c r="E283" s="36" t="s">
        <v>609</v>
      </c>
      <c r="F283" s="66" t="s">
        <v>203</v>
      </c>
    </row>
    <row r="284" spans="1:6">
      <c r="A284" s="36" t="s">
        <v>204</v>
      </c>
      <c r="B284" s="36" t="s">
        <v>205</v>
      </c>
      <c r="C284" s="37" t="s">
        <v>206</v>
      </c>
      <c r="D284" s="36" t="s">
        <v>207</v>
      </c>
      <c r="E284" s="36" t="s">
        <v>610</v>
      </c>
      <c r="F284" s="66" t="s">
        <v>203</v>
      </c>
    </row>
    <row r="285" spans="1:6">
      <c r="A285" s="36" t="s">
        <v>204</v>
      </c>
      <c r="B285" s="36" t="s">
        <v>209</v>
      </c>
      <c r="C285" s="37" t="s">
        <v>210</v>
      </c>
      <c r="D285" s="36" t="s">
        <v>207</v>
      </c>
      <c r="E285" s="36" t="s">
        <v>611</v>
      </c>
      <c r="F285" s="66" t="s">
        <v>203</v>
      </c>
    </row>
    <row r="286" spans="1:6" ht="63">
      <c r="A286" s="78">
        <v>53</v>
      </c>
      <c r="B286" s="78">
        <v>87265</v>
      </c>
      <c r="C286" s="79" t="s">
        <v>612</v>
      </c>
      <c r="D286" s="78" t="s">
        <v>214</v>
      </c>
      <c r="E286" s="78" t="s">
        <v>203</v>
      </c>
      <c r="F286" s="73">
        <v>64.680000000000007</v>
      </c>
    </row>
    <row r="287" spans="1:6" ht="31.5">
      <c r="A287" s="36" t="s">
        <v>218</v>
      </c>
      <c r="B287" s="36" t="s">
        <v>613</v>
      </c>
      <c r="C287" s="37" t="s">
        <v>614</v>
      </c>
      <c r="D287" s="36" t="s">
        <v>214</v>
      </c>
      <c r="E287" s="36" t="s">
        <v>615</v>
      </c>
      <c r="F287" s="69" t="s">
        <v>203</v>
      </c>
    </row>
    <row r="288" spans="1:6">
      <c r="A288" s="36" t="s">
        <v>218</v>
      </c>
      <c r="B288" s="36" t="s">
        <v>616</v>
      </c>
      <c r="C288" s="37" t="s">
        <v>617</v>
      </c>
      <c r="D288" s="36" t="s">
        <v>221</v>
      </c>
      <c r="E288" s="36" t="s">
        <v>618</v>
      </c>
      <c r="F288" s="69" t="s">
        <v>203</v>
      </c>
    </row>
    <row r="289" spans="1:6">
      <c r="A289" s="36" t="s">
        <v>218</v>
      </c>
      <c r="B289" s="36" t="s">
        <v>219</v>
      </c>
      <c r="C289" s="37" t="s">
        <v>220</v>
      </c>
      <c r="D289" s="36" t="s">
        <v>221</v>
      </c>
      <c r="E289" s="36" t="s">
        <v>619</v>
      </c>
      <c r="F289" s="69" t="s">
        <v>203</v>
      </c>
    </row>
    <row r="290" spans="1:6">
      <c r="A290" s="36" t="s">
        <v>204</v>
      </c>
      <c r="B290" s="36" t="s">
        <v>205</v>
      </c>
      <c r="C290" s="37" t="s">
        <v>206</v>
      </c>
      <c r="D290" s="36" t="s">
        <v>207</v>
      </c>
      <c r="E290" s="36" t="s">
        <v>620</v>
      </c>
      <c r="F290" s="69" t="s">
        <v>203</v>
      </c>
    </row>
    <row r="291" spans="1:6">
      <c r="A291" s="36" t="s">
        <v>204</v>
      </c>
      <c r="B291" s="36" t="s">
        <v>209</v>
      </c>
      <c r="C291" s="37" t="s">
        <v>210</v>
      </c>
      <c r="D291" s="36" t="s">
        <v>207</v>
      </c>
      <c r="E291" s="36" t="s">
        <v>621</v>
      </c>
      <c r="F291" s="69" t="s">
        <v>203</v>
      </c>
    </row>
    <row r="292" spans="1:6" ht="45" customHeight="1">
      <c r="A292" s="78">
        <v>54</v>
      </c>
      <c r="B292" s="78">
        <v>98556</v>
      </c>
      <c r="C292" s="79" t="s">
        <v>622</v>
      </c>
      <c r="D292" s="78" t="s">
        <v>214</v>
      </c>
      <c r="E292" s="78"/>
      <c r="F292" s="73">
        <v>64.59</v>
      </c>
    </row>
    <row r="293" spans="1:6" ht="31.5">
      <c r="A293" s="39" t="s">
        <v>218</v>
      </c>
      <c r="B293" s="39" t="s">
        <v>623</v>
      </c>
      <c r="C293" s="42" t="s">
        <v>624</v>
      </c>
      <c r="D293" s="36" t="s">
        <v>221</v>
      </c>
      <c r="E293" s="36" t="s">
        <v>625</v>
      </c>
      <c r="F293" s="66"/>
    </row>
    <row r="294" spans="1:6">
      <c r="A294" s="39" t="s">
        <v>218</v>
      </c>
      <c r="B294" s="39" t="s">
        <v>626</v>
      </c>
      <c r="C294" s="42" t="s">
        <v>627</v>
      </c>
      <c r="D294" s="36" t="s">
        <v>214</v>
      </c>
      <c r="E294" s="36" t="s">
        <v>628</v>
      </c>
      <c r="F294" s="66"/>
    </row>
    <row r="295" spans="1:6">
      <c r="A295" s="39" t="s">
        <v>204</v>
      </c>
      <c r="B295" s="39" t="s">
        <v>629</v>
      </c>
      <c r="C295" s="42" t="s">
        <v>326</v>
      </c>
      <c r="D295" s="36" t="s">
        <v>207</v>
      </c>
      <c r="E295" s="36" t="s">
        <v>630</v>
      </c>
      <c r="F295" s="66"/>
    </row>
    <row r="296" spans="1:6">
      <c r="A296" s="39" t="s">
        <v>204</v>
      </c>
      <c r="B296" s="39" t="s">
        <v>484</v>
      </c>
      <c r="C296" s="42" t="s">
        <v>327</v>
      </c>
      <c r="D296" s="36" t="s">
        <v>207</v>
      </c>
      <c r="E296" s="36" t="s">
        <v>631</v>
      </c>
      <c r="F296" s="66"/>
    </row>
    <row r="297" spans="1:6" ht="31.5">
      <c r="A297" s="78">
        <v>55</v>
      </c>
      <c r="B297" s="78" t="s">
        <v>297</v>
      </c>
      <c r="C297" s="79" t="s">
        <v>632</v>
      </c>
      <c r="D297" s="78" t="s">
        <v>214</v>
      </c>
      <c r="E297" s="78"/>
      <c r="F297" s="73">
        <f>(E298*F298)+(E299*F299)+(E300*F300)+(E301*F301)+(E302*F302)</f>
        <v>76.337400000000002</v>
      </c>
    </row>
    <row r="298" spans="1:6">
      <c r="A298" s="36" t="s">
        <v>218</v>
      </c>
      <c r="B298" s="39">
        <v>7353</v>
      </c>
      <c r="C298" s="37" t="s">
        <v>633</v>
      </c>
      <c r="D298" s="36" t="s">
        <v>266</v>
      </c>
      <c r="E298" s="41">
        <v>0.25</v>
      </c>
      <c r="F298" s="69">
        <v>36.14</v>
      </c>
    </row>
    <row r="299" spans="1:6">
      <c r="A299" s="36" t="s">
        <v>204</v>
      </c>
      <c r="B299" s="36" t="s">
        <v>484</v>
      </c>
      <c r="C299" s="37" t="s">
        <v>327</v>
      </c>
      <c r="D299" s="36" t="s">
        <v>207</v>
      </c>
      <c r="E299" s="38" t="s">
        <v>551</v>
      </c>
      <c r="F299" s="69">
        <f>F204</f>
        <v>32.840000000000003</v>
      </c>
    </row>
    <row r="300" spans="1:6">
      <c r="A300" s="36" t="s">
        <v>204</v>
      </c>
      <c r="B300" s="36" t="s">
        <v>209</v>
      </c>
      <c r="C300" s="37" t="s">
        <v>210</v>
      </c>
      <c r="D300" s="36" t="s">
        <v>207</v>
      </c>
      <c r="E300" s="44">
        <v>1.1000000000000001</v>
      </c>
      <c r="F300" s="69">
        <f>F205</f>
        <v>25.11</v>
      </c>
    </row>
    <row r="301" spans="1:6">
      <c r="A301" s="36" t="s">
        <v>218</v>
      </c>
      <c r="B301" s="36">
        <v>3768</v>
      </c>
      <c r="C301" s="37" t="s">
        <v>453</v>
      </c>
      <c r="D301" s="36" t="s">
        <v>273</v>
      </c>
      <c r="E301" s="41">
        <v>0.06</v>
      </c>
      <c r="F301" s="69">
        <v>3.79</v>
      </c>
    </row>
    <row r="302" spans="1:6" ht="31.5">
      <c r="A302" s="36" t="s">
        <v>204</v>
      </c>
      <c r="B302" s="36">
        <v>104519</v>
      </c>
      <c r="C302" s="37" t="s">
        <v>634</v>
      </c>
      <c r="D302" s="36" t="s">
        <v>207</v>
      </c>
      <c r="E302" s="41">
        <v>0.1</v>
      </c>
      <c r="F302" s="69">
        <v>0.46</v>
      </c>
    </row>
    <row r="303" spans="1:6" s="35" customFormat="1" ht="41.25" customHeight="1">
      <c r="A303" s="78">
        <v>56</v>
      </c>
      <c r="B303" s="78" t="s">
        <v>297</v>
      </c>
      <c r="C303" s="79" t="s">
        <v>1782</v>
      </c>
      <c r="D303" s="78" t="s">
        <v>214</v>
      </c>
      <c r="E303" s="80" t="s">
        <v>203</v>
      </c>
      <c r="F303" s="73">
        <f>(E304*F304)+(E305*F305)+(E306*F306)+(E307*F307)</f>
        <v>427.28499999999997</v>
      </c>
    </row>
    <row r="304" spans="1:6" s="35" customFormat="1">
      <c r="A304" s="36" t="s">
        <v>218</v>
      </c>
      <c r="B304" s="36" t="s">
        <v>635</v>
      </c>
      <c r="C304" s="37" t="s">
        <v>636</v>
      </c>
      <c r="D304" s="36" t="s">
        <v>221</v>
      </c>
      <c r="E304" s="38" t="s">
        <v>637</v>
      </c>
      <c r="F304" s="69">
        <v>9.4499999999999993</v>
      </c>
    </row>
    <row r="305" spans="1:8" s="35" customFormat="1">
      <c r="A305" s="36" t="s">
        <v>218</v>
      </c>
      <c r="B305" s="36">
        <v>10502</v>
      </c>
      <c r="C305" s="37" t="s">
        <v>1783</v>
      </c>
      <c r="D305" s="36" t="s">
        <v>214</v>
      </c>
      <c r="E305" s="38" t="s">
        <v>301</v>
      </c>
      <c r="F305" s="69">
        <v>385.4</v>
      </c>
    </row>
    <row r="306" spans="1:8" s="35" customFormat="1">
      <c r="A306" s="36" t="s">
        <v>204</v>
      </c>
      <c r="B306" s="36">
        <v>88316</v>
      </c>
      <c r="C306" s="37" t="s">
        <v>210</v>
      </c>
      <c r="D306" s="36" t="s">
        <v>207</v>
      </c>
      <c r="E306" s="38" t="s">
        <v>463</v>
      </c>
      <c r="F306" s="69">
        <f>F314</f>
        <v>25.11</v>
      </c>
    </row>
    <row r="307" spans="1:8" s="35" customFormat="1">
      <c r="A307" s="36" t="s">
        <v>204</v>
      </c>
      <c r="B307" s="36" t="s">
        <v>601</v>
      </c>
      <c r="C307" s="37" t="s">
        <v>602</v>
      </c>
      <c r="D307" s="36" t="s">
        <v>207</v>
      </c>
      <c r="E307" s="38" t="s">
        <v>463</v>
      </c>
      <c r="F307" s="69">
        <f>F280</f>
        <v>30.31</v>
      </c>
    </row>
    <row r="308" spans="1:8" s="35" customFormat="1" ht="21" customHeight="1">
      <c r="A308" s="78">
        <v>57</v>
      </c>
      <c r="B308" s="78" t="s">
        <v>297</v>
      </c>
      <c r="C308" s="79" t="s">
        <v>639</v>
      </c>
      <c r="D308" s="78" t="s">
        <v>214</v>
      </c>
      <c r="E308" s="78" t="s">
        <v>203</v>
      </c>
      <c r="F308" s="73">
        <f>(E309*F309)+(E310*F310)+(E311*F311)+(E312*F312)+(E313*F313)+(E314*F314)+(E315*F315)</f>
        <v>938.59271000000012</v>
      </c>
    </row>
    <row r="309" spans="1:8" s="35" customFormat="1" ht="31.5">
      <c r="A309" s="36" t="s">
        <v>218</v>
      </c>
      <c r="B309" s="36">
        <v>34391</v>
      </c>
      <c r="C309" s="37" t="s">
        <v>640</v>
      </c>
      <c r="D309" s="36" t="s">
        <v>214</v>
      </c>
      <c r="E309" s="38" t="s">
        <v>301</v>
      </c>
      <c r="F309" s="69">
        <v>710.94</v>
      </c>
    </row>
    <row r="310" spans="1:8" s="35" customFormat="1" ht="31.5">
      <c r="A310" s="36" t="s">
        <v>218</v>
      </c>
      <c r="B310" s="36" t="s">
        <v>641</v>
      </c>
      <c r="C310" s="37" t="s">
        <v>642</v>
      </c>
      <c r="D310" s="36" t="s">
        <v>273</v>
      </c>
      <c r="E310" s="41">
        <v>2</v>
      </c>
      <c r="F310" s="69">
        <v>0.39</v>
      </c>
    </row>
    <row r="311" spans="1:8" s="35" customFormat="1">
      <c r="A311" s="36" t="s">
        <v>218</v>
      </c>
      <c r="B311" s="36" t="s">
        <v>643</v>
      </c>
      <c r="C311" s="37" t="s">
        <v>644</v>
      </c>
      <c r="D311" s="36" t="s">
        <v>202</v>
      </c>
      <c r="E311" s="38" t="s">
        <v>645</v>
      </c>
      <c r="F311" s="69">
        <v>26.9</v>
      </c>
    </row>
    <row r="312" spans="1:8" s="35" customFormat="1">
      <c r="A312" s="36" t="s">
        <v>218</v>
      </c>
      <c r="B312" s="36" t="s">
        <v>579</v>
      </c>
      <c r="C312" s="37" t="s">
        <v>580</v>
      </c>
      <c r="D312" s="36" t="s">
        <v>221</v>
      </c>
      <c r="E312" s="38" t="s">
        <v>505</v>
      </c>
      <c r="F312" s="69">
        <v>68.569999999999993</v>
      </c>
    </row>
    <row r="313" spans="1:8" s="35" customFormat="1" ht="31.5">
      <c r="A313" s="36" t="s">
        <v>218</v>
      </c>
      <c r="B313" s="36" t="s">
        <v>342</v>
      </c>
      <c r="C313" s="37" t="s">
        <v>343</v>
      </c>
      <c r="D313" s="36" t="s">
        <v>202</v>
      </c>
      <c r="E313" s="38" t="s">
        <v>646</v>
      </c>
      <c r="F313" s="69">
        <v>2.46</v>
      </c>
    </row>
    <row r="314" spans="1:8" s="35" customFormat="1">
      <c r="A314" s="36" t="s">
        <v>204</v>
      </c>
      <c r="B314" s="36" t="s">
        <v>209</v>
      </c>
      <c r="C314" s="37" t="s">
        <v>210</v>
      </c>
      <c r="D314" s="36" t="s">
        <v>207</v>
      </c>
      <c r="E314" s="38" t="s">
        <v>647</v>
      </c>
      <c r="F314" s="69">
        <f>F300</f>
        <v>25.11</v>
      </c>
    </row>
    <row r="315" spans="1:8" s="35" customFormat="1">
      <c r="A315" s="36" t="s">
        <v>204</v>
      </c>
      <c r="B315" s="36" t="s">
        <v>601</v>
      </c>
      <c r="C315" s="37" t="s">
        <v>602</v>
      </c>
      <c r="D315" s="36" t="s">
        <v>207</v>
      </c>
      <c r="E315" s="38" t="s">
        <v>648</v>
      </c>
      <c r="F315" s="69">
        <f>F307</f>
        <v>30.31</v>
      </c>
    </row>
    <row r="316" spans="1:8" s="35" customFormat="1" ht="47.25">
      <c r="A316" s="78">
        <v>58</v>
      </c>
      <c r="B316" s="574" t="s">
        <v>243</v>
      </c>
      <c r="C316" s="79" t="s">
        <v>1735</v>
      </c>
      <c r="D316" s="78" t="s">
        <v>79</v>
      </c>
      <c r="E316" s="80" t="s">
        <v>203</v>
      </c>
      <c r="F316" s="73">
        <f>(E317*F317)+(E318*F318)+(E319*F319)+(E320*F320)</f>
        <v>12471.44</v>
      </c>
      <c r="H316" s="33"/>
    </row>
    <row r="317" spans="1:8" s="35" customFormat="1">
      <c r="A317" s="45" t="s">
        <v>218</v>
      </c>
      <c r="B317" s="1" t="s">
        <v>649</v>
      </c>
      <c r="C317" s="25" t="s">
        <v>650</v>
      </c>
      <c r="D317" s="1" t="s">
        <v>651</v>
      </c>
      <c r="E317" s="43">
        <v>1</v>
      </c>
      <c r="F317" s="69">
        <v>282.24</v>
      </c>
    </row>
    <row r="318" spans="1:8" s="35" customFormat="1">
      <c r="A318" s="45" t="s">
        <v>218</v>
      </c>
      <c r="B318" s="36">
        <v>44329</v>
      </c>
      <c r="C318" s="37" t="s">
        <v>653</v>
      </c>
      <c r="D318" s="36" t="s">
        <v>266</v>
      </c>
      <c r="E318" s="87">
        <v>20</v>
      </c>
      <c r="F318" s="68">
        <v>11.38</v>
      </c>
    </row>
    <row r="319" spans="1:8" s="35" customFormat="1">
      <c r="A319" s="36" t="s">
        <v>652</v>
      </c>
      <c r="B319" s="36">
        <v>88252</v>
      </c>
      <c r="C319" s="37" t="s">
        <v>654</v>
      </c>
      <c r="D319" s="36" t="s">
        <v>207</v>
      </c>
      <c r="E319" s="87">
        <f>8*14*4</f>
        <v>448</v>
      </c>
      <c r="F319" s="68">
        <v>24.96</v>
      </c>
    </row>
    <row r="320" spans="1:8" s="35" customFormat="1">
      <c r="A320" s="36" t="s">
        <v>652</v>
      </c>
      <c r="B320" s="36">
        <v>99833</v>
      </c>
      <c r="C320" s="37" t="s">
        <v>655</v>
      </c>
      <c r="D320" s="36" t="s">
        <v>256</v>
      </c>
      <c r="E320" s="87">
        <f>8*14*2</f>
        <v>224</v>
      </c>
      <c r="F320" s="68">
        <v>3.48</v>
      </c>
    </row>
    <row r="321" spans="1:8" s="33" customFormat="1" ht="36" customHeight="1">
      <c r="A321" s="78">
        <v>59</v>
      </c>
      <c r="B321" s="78" t="s">
        <v>243</v>
      </c>
      <c r="C321" s="79" t="s">
        <v>656</v>
      </c>
      <c r="D321" s="78" t="s">
        <v>214</v>
      </c>
      <c r="E321" s="78"/>
      <c r="F321" s="73">
        <f>(E322*F322)+(E323*F323)+(E324*F324)+(E325*F325)+(E326*F326)+(E327*F327)+(E328*F328)+(E329*F329)</f>
        <v>197.47863799999999</v>
      </c>
    </row>
    <row r="322" spans="1:8" s="33" customFormat="1">
      <c r="A322" s="45" t="s">
        <v>218</v>
      </c>
      <c r="B322" s="1" t="s">
        <v>649</v>
      </c>
      <c r="C322" s="25" t="s">
        <v>650</v>
      </c>
      <c r="D322" s="1" t="s">
        <v>651</v>
      </c>
      <c r="E322" s="89">
        <v>0.09</v>
      </c>
      <c r="F322" s="470">
        <f>F317</f>
        <v>282.24</v>
      </c>
    </row>
    <row r="323" spans="1:8" s="33" customFormat="1">
      <c r="A323" s="45" t="s">
        <v>204</v>
      </c>
      <c r="B323" s="1">
        <v>104519</v>
      </c>
      <c r="C323" s="50" t="s">
        <v>657</v>
      </c>
      <c r="D323" s="1" t="s">
        <v>207</v>
      </c>
      <c r="E323" s="43">
        <v>1.6E-2</v>
      </c>
      <c r="F323" s="470">
        <f>F302</f>
        <v>0.46</v>
      </c>
      <c r="H323" s="88"/>
    </row>
    <row r="324" spans="1:8" s="33" customFormat="1">
      <c r="A324" s="45" t="s">
        <v>218</v>
      </c>
      <c r="B324" s="1">
        <v>3768</v>
      </c>
      <c r="C324" s="50" t="s">
        <v>453</v>
      </c>
      <c r="D324" s="1" t="s">
        <v>3</v>
      </c>
      <c r="E324" s="43">
        <v>0.3</v>
      </c>
      <c r="F324" s="470">
        <f>F301</f>
        <v>3.79</v>
      </c>
      <c r="H324"/>
    </row>
    <row r="325" spans="1:8" s="33" customFormat="1">
      <c r="A325" s="45" t="s">
        <v>218</v>
      </c>
      <c r="B325" s="45" t="s">
        <v>440</v>
      </c>
      <c r="C325" s="46" t="s">
        <v>658</v>
      </c>
      <c r="D325" s="45" t="s">
        <v>266</v>
      </c>
      <c r="E325" s="43">
        <f>0.011+0.0624+0.0624</f>
        <v>0.13579999999999998</v>
      </c>
      <c r="F325" s="470">
        <v>18.41</v>
      </c>
    </row>
    <row r="326" spans="1:8" s="33" customFormat="1">
      <c r="A326" s="45" t="s">
        <v>218</v>
      </c>
      <c r="B326" s="45" t="s">
        <v>659</v>
      </c>
      <c r="C326" s="46" t="s">
        <v>549</v>
      </c>
      <c r="D326" s="45" t="s">
        <v>266</v>
      </c>
      <c r="E326" s="43" t="s">
        <v>660</v>
      </c>
      <c r="F326" s="470">
        <v>50.61</v>
      </c>
    </row>
    <row r="327" spans="1:8" s="33" customFormat="1" ht="27.75" customHeight="1">
      <c r="A327" s="45" t="s">
        <v>218</v>
      </c>
      <c r="B327" s="45" t="s">
        <v>455</v>
      </c>
      <c r="C327" s="46" t="s">
        <v>661</v>
      </c>
      <c r="D327" s="45" t="s">
        <v>266</v>
      </c>
      <c r="E327" s="43">
        <f>0.2078*2</f>
        <v>0.41560000000000002</v>
      </c>
      <c r="F327" s="470">
        <v>50.68</v>
      </c>
    </row>
    <row r="328" spans="1:8" s="33" customFormat="1">
      <c r="A328" s="1" t="s">
        <v>662</v>
      </c>
      <c r="B328" s="1">
        <v>100718</v>
      </c>
      <c r="C328" s="46" t="s">
        <v>663</v>
      </c>
      <c r="D328" s="1" t="s">
        <v>14</v>
      </c>
      <c r="E328" s="89">
        <v>1.5</v>
      </c>
      <c r="F328" s="470">
        <v>1.69</v>
      </c>
    </row>
    <row r="329" spans="1:8" s="33" customFormat="1">
      <c r="A329" s="1" t="s">
        <v>662</v>
      </c>
      <c r="B329" s="1">
        <v>88310</v>
      </c>
      <c r="C329" s="50" t="s">
        <v>279</v>
      </c>
      <c r="D329" s="1" t="s">
        <v>664</v>
      </c>
      <c r="E329" s="89">
        <f>(0.2986*2)+(0.6779*2)+(0.5266*4)</f>
        <v>4.0594000000000001</v>
      </c>
      <c r="F329" s="470">
        <f>F245</f>
        <v>34.31</v>
      </c>
    </row>
    <row r="330" spans="1:8">
      <c r="A330" s="78">
        <v>60</v>
      </c>
      <c r="B330" s="78">
        <v>98505</v>
      </c>
      <c r="C330" s="79" t="s">
        <v>1456</v>
      </c>
      <c r="D330" s="78" t="s">
        <v>214</v>
      </c>
      <c r="E330" s="80" t="s">
        <v>203</v>
      </c>
      <c r="F330" s="73">
        <v>70.36</v>
      </c>
    </row>
    <row r="331" spans="1:8">
      <c r="A331" s="9" t="s">
        <v>204</v>
      </c>
      <c r="B331" s="9">
        <v>88441</v>
      </c>
      <c r="C331" s="46" t="s">
        <v>668</v>
      </c>
      <c r="D331" s="9" t="s">
        <v>207</v>
      </c>
      <c r="E331" s="474">
        <v>5.0700000000000002E-2</v>
      </c>
      <c r="F331" s="69"/>
    </row>
    <row r="332" spans="1:8">
      <c r="A332" s="9" t="s">
        <v>204</v>
      </c>
      <c r="B332" s="9">
        <v>88316</v>
      </c>
      <c r="C332" s="46" t="s">
        <v>210</v>
      </c>
      <c r="D332" s="9" t="s">
        <v>207</v>
      </c>
      <c r="E332" s="474">
        <v>0.25340000000000001</v>
      </c>
      <c r="F332" s="69"/>
    </row>
    <row r="333" spans="1:8" ht="31.5">
      <c r="A333" s="9" t="s">
        <v>218</v>
      </c>
      <c r="B333" s="9">
        <v>360</v>
      </c>
      <c r="C333" s="46" t="s">
        <v>665</v>
      </c>
      <c r="D333" s="9" t="s">
        <v>273</v>
      </c>
      <c r="E333" s="474">
        <v>25</v>
      </c>
      <c r="F333" s="69"/>
    </row>
    <row r="334" spans="1:8">
      <c r="A334" s="471">
        <v>61</v>
      </c>
      <c r="B334" s="471">
        <v>98509</v>
      </c>
      <c r="C334" s="475" t="s">
        <v>1470</v>
      </c>
      <c r="D334" s="471" t="s">
        <v>1457</v>
      </c>
      <c r="E334" s="472"/>
      <c r="F334" s="473">
        <v>46.22</v>
      </c>
      <c r="H334" s="123"/>
    </row>
    <row r="335" spans="1:8">
      <c r="A335" s="9" t="s">
        <v>204</v>
      </c>
      <c r="B335" s="9">
        <v>88441</v>
      </c>
      <c r="C335" s="46" t="s">
        <v>668</v>
      </c>
      <c r="D335" s="9" t="s">
        <v>207</v>
      </c>
      <c r="E335" s="474">
        <v>1.0800000000000001E-2</v>
      </c>
      <c r="F335" s="66"/>
    </row>
    <row r="336" spans="1:8">
      <c r="A336" s="9" t="s">
        <v>204</v>
      </c>
      <c r="B336" s="9">
        <v>88316</v>
      </c>
      <c r="C336" s="46" t="s">
        <v>210</v>
      </c>
      <c r="D336" s="9" t="s">
        <v>207</v>
      </c>
      <c r="E336" s="474">
        <v>5.4199999999999998E-2</v>
      </c>
      <c r="F336" s="66"/>
    </row>
    <row r="337" spans="1:8" ht="31.5">
      <c r="A337" s="9" t="s">
        <v>218</v>
      </c>
      <c r="B337" s="9">
        <v>365</v>
      </c>
      <c r="C337" s="46" t="s">
        <v>666</v>
      </c>
      <c r="D337" s="9" t="s">
        <v>273</v>
      </c>
      <c r="E337" s="474">
        <v>1</v>
      </c>
      <c r="F337" s="66"/>
      <c r="H337" s="123"/>
    </row>
    <row r="338" spans="1:8" ht="31.5">
      <c r="A338" s="78">
        <v>62</v>
      </c>
      <c r="B338" s="78" t="s">
        <v>669</v>
      </c>
      <c r="C338" s="79" t="s">
        <v>670</v>
      </c>
      <c r="D338" s="78" t="s">
        <v>214</v>
      </c>
      <c r="E338" s="80" t="s">
        <v>203</v>
      </c>
      <c r="F338" s="73">
        <v>20.3</v>
      </c>
    </row>
    <row r="339" spans="1:8" ht="31.5">
      <c r="A339" s="36" t="s">
        <v>218</v>
      </c>
      <c r="B339" s="36" t="s">
        <v>671</v>
      </c>
      <c r="C339" s="37" t="s">
        <v>672</v>
      </c>
      <c r="D339" s="36" t="s">
        <v>214</v>
      </c>
      <c r="E339" s="38" t="s">
        <v>301</v>
      </c>
      <c r="F339" s="66"/>
    </row>
    <row r="340" spans="1:8">
      <c r="A340" s="36" t="s">
        <v>204</v>
      </c>
      <c r="B340" s="36" t="s">
        <v>209</v>
      </c>
      <c r="C340" s="37" t="s">
        <v>210</v>
      </c>
      <c r="D340" s="36" t="s">
        <v>207</v>
      </c>
      <c r="E340" s="38" t="s">
        <v>673</v>
      </c>
      <c r="F340" s="66"/>
    </row>
    <row r="341" spans="1:8" ht="19.5" customHeight="1">
      <c r="A341" s="36" t="s">
        <v>204</v>
      </c>
      <c r="B341" s="36" t="s">
        <v>667</v>
      </c>
      <c r="C341" s="37" t="s">
        <v>668</v>
      </c>
      <c r="D341" s="36" t="s">
        <v>207</v>
      </c>
      <c r="E341" s="38" t="s">
        <v>674</v>
      </c>
      <c r="F341" s="66"/>
    </row>
    <row r="342" spans="1:8" ht="47.25">
      <c r="A342" s="78">
        <v>63</v>
      </c>
      <c r="B342" s="78">
        <v>103001</v>
      </c>
      <c r="C342" s="79" t="s">
        <v>675</v>
      </c>
      <c r="D342" s="78" t="s">
        <v>273</v>
      </c>
      <c r="E342" s="80" t="s">
        <v>203</v>
      </c>
      <c r="F342" s="73">
        <v>196.05</v>
      </c>
    </row>
    <row r="343" spans="1:8" ht="31.5">
      <c r="A343" s="36" t="s">
        <v>218</v>
      </c>
      <c r="B343" s="36" t="s">
        <v>676</v>
      </c>
      <c r="C343" s="37" t="s">
        <v>677</v>
      </c>
      <c r="D343" s="36" t="s">
        <v>273</v>
      </c>
      <c r="E343" s="36" t="s">
        <v>301</v>
      </c>
      <c r="F343" s="69"/>
    </row>
    <row r="344" spans="1:8">
      <c r="A344" s="36" t="s">
        <v>204</v>
      </c>
      <c r="B344" s="36" t="s">
        <v>250</v>
      </c>
      <c r="C344" s="37" t="s">
        <v>251</v>
      </c>
      <c r="D344" s="36" t="s">
        <v>207</v>
      </c>
      <c r="E344" s="36" t="s">
        <v>678</v>
      </c>
      <c r="F344" s="69"/>
    </row>
    <row r="345" spans="1:8">
      <c r="A345" s="36" t="s">
        <v>204</v>
      </c>
      <c r="B345" s="36" t="s">
        <v>209</v>
      </c>
      <c r="C345" s="37" t="s">
        <v>210</v>
      </c>
      <c r="D345" s="36" t="s">
        <v>207</v>
      </c>
      <c r="E345" s="36" t="s">
        <v>678</v>
      </c>
      <c r="F345" s="69"/>
    </row>
    <row r="346" spans="1:8" ht="31.5">
      <c r="A346" s="36" t="s">
        <v>204</v>
      </c>
      <c r="B346" s="36" t="s">
        <v>528</v>
      </c>
      <c r="C346" s="37" t="s">
        <v>679</v>
      </c>
      <c r="D346" s="36" t="s">
        <v>530</v>
      </c>
      <c r="E346" s="36" t="s">
        <v>680</v>
      </c>
      <c r="F346" s="69"/>
    </row>
    <row r="347" spans="1:8" ht="31.5">
      <c r="A347" s="78">
        <v>64</v>
      </c>
      <c r="B347" s="78">
        <v>94229</v>
      </c>
      <c r="C347" s="79" t="s">
        <v>681</v>
      </c>
      <c r="D347" s="78" t="s">
        <v>202</v>
      </c>
      <c r="E347" s="80" t="s">
        <v>203</v>
      </c>
      <c r="F347" s="73">
        <v>172.23</v>
      </c>
    </row>
    <row r="348" spans="1:8" ht="31.5">
      <c r="A348" s="36" t="s">
        <v>218</v>
      </c>
      <c r="B348" s="36" t="s">
        <v>507</v>
      </c>
      <c r="C348" s="37" t="s">
        <v>682</v>
      </c>
      <c r="D348" s="36" t="s">
        <v>509</v>
      </c>
      <c r="E348" s="38" t="s">
        <v>683</v>
      </c>
      <c r="F348" s="69"/>
    </row>
    <row r="349" spans="1:8">
      <c r="A349" s="36" t="s">
        <v>218</v>
      </c>
      <c r="B349" s="36" t="s">
        <v>553</v>
      </c>
      <c r="C349" s="37" t="s">
        <v>554</v>
      </c>
      <c r="D349" s="36" t="s">
        <v>221</v>
      </c>
      <c r="E349" s="38" t="s">
        <v>257</v>
      </c>
      <c r="F349" s="69"/>
    </row>
    <row r="350" spans="1:8" ht="31.5">
      <c r="A350" s="36" t="s">
        <v>218</v>
      </c>
      <c r="B350" s="36" t="s">
        <v>575</v>
      </c>
      <c r="C350" s="37" t="s">
        <v>576</v>
      </c>
      <c r="D350" s="36" t="s">
        <v>221</v>
      </c>
      <c r="E350" s="38" t="s">
        <v>684</v>
      </c>
      <c r="F350" s="69"/>
    </row>
    <row r="351" spans="1:8">
      <c r="A351" s="36" t="s">
        <v>218</v>
      </c>
      <c r="B351" s="36" t="s">
        <v>685</v>
      </c>
      <c r="C351" s="37" t="s">
        <v>686</v>
      </c>
      <c r="D351" s="36" t="s">
        <v>221</v>
      </c>
      <c r="E351" s="38" t="s">
        <v>473</v>
      </c>
      <c r="F351" s="69"/>
    </row>
    <row r="352" spans="1:8" ht="31.5">
      <c r="A352" s="36" t="s">
        <v>218</v>
      </c>
      <c r="B352" s="36" t="s">
        <v>687</v>
      </c>
      <c r="C352" s="37" t="s">
        <v>688</v>
      </c>
      <c r="D352" s="36" t="s">
        <v>202</v>
      </c>
      <c r="E352" s="38" t="s">
        <v>472</v>
      </c>
      <c r="F352" s="69"/>
    </row>
    <row r="353" spans="1:6">
      <c r="A353" s="36" t="s">
        <v>204</v>
      </c>
      <c r="B353" s="36" t="s">
        <v>209</v>
      </c>
      <c r="C353" s="37" t="s">
        <v>210</v>
      </c>
      <c r="D353" s="36" t="s">
        <v>207</v>
      </c>
      <c r="E353" s="38" t="s">
        <v>689</v>
      </c>
      <c r="F353" s="66"/>
    </row>
    <row r="354" spans="1:6">
      <c r="A354" s="36" t="s">
        <v>204</v>
      </c>
      <c r="B354" s="36" t="s">
        <v>690</v>
      </c>
      <c r="C354" s="37" t="s">
        <v>691</v>
      </c>
      <c r="D354" s="36" t="s">
        <v>207</v>
      </c>
      <c r="E354" s="38" t="s">
        <v>692</v>
      </c>
      <c r="F354" s="66"/>
    </row>
    <row r="355" spans="1:6" ht="31.5">
      <c r="A355" s="36" t="s">
        <v>204</v>
      </c>
      <c r="B355" s="36" t="s">
        <v>693</v>
      </c>
      <c r="C355" s="37" t="s">
        <v>694</v>
      </c>
      <c r="D355" s="36" t="s">
        <v>256</v>
      </c>
      <c r="E355" s="38" t="s">
        <v>357</v>
      </c>
      <c r="F355" s="66"/>
    </row>
    <row r="356" spans="1:6" ht="31.5">
      <c r="A356" s="36" t="s">
        <v>204</v>
      </c>
      <c r="B356" s="36" t="s">
        <v>695</v>
      </c>
      <c r="C356" s="37" t="s">
        <v>696</v>
      </c>
      <c r="D356" s="36" t="s">
        <v>260</v>
      </c>
      <c r="E356" s="38" t="s">
        <v>697</v>
      </c>
      <c r="F356" s="66"/>
    </row>
    <row r="357" spans="1:6" ht="31.5">
      <c r="A357" s="78">
        <v>65</v>
      </c>
      <c r="B357" s="78">
        <v>94231</v>
      </c>
      <c r="C357" s="79" t="s">
        <v>698</v>
      </c>
      <c r="D357" s="78" t="s">
        <v>202</v>
      </c>
      <c r="E357" s="80" t="s">
        <v>203</v>
      </c>
      <c r="F357" s="73">
        <v>53.64</v>
      </c>
    </row>
    <row r="358" spans="1:6" ht="31.5">
      <c r="A358" s="36" t="s">
        <v>218</v>
      </c>
      <c r="B358" s="36" t="s">
        <v>507</v>
      </c>
      <c r="C358" s="37" t="s">
        <v>682</v>
      </c>
      <c r="D358" s="36" t="s">
        <v>509</v>
      </c>
      <c r="E358" s="38" t="s">
        <v>442</v>
      </c>
      <c r="F358" s="66"/>
    </row>
    <row r="359" spans="1:6">
      <c r="A359" s="36" t="s">
        <v>218</v>
      </c>
      <c r="B359" s="36" t="s">
        <v>553</v>
      </c>
      <c r="C359" s="37" t="s">
        <v>554</v>
      </c>
      <c r="D359" s="36" t="s">
        <v>221</v>
      </c>
      <c r="E359" s="38" t="s">
        <v>492</v>
      </c>
      <c r="F359" s="66"/>
    </row>
    <row r="360" spans="1:6" ht="31.5">
      <c r="A360" s="36" t="s">
        <v>218</v>
      </c>
      <c r="B360" s="36" t="s">
        <v>575</v>
      </c>
      <c r="C360" s="37" t="s">
        <v>576</v>
      </c>
      <c r="D360" s="36" t="s">
        <v>221</v>
      </c>
      <c r="E360" s="38" t="s">
        <v>699</v>
      </c>
      <c r="F360" s="66"/>
    </row>
    <row r="361" spans="1:6">
      <c r="A361" s="36" t="s">
        <v>218</v>
      </c>
      <c r="B361" s="36" t="s">
        <v>685</v>
      </c>
      <c r="C361" s="37" t="s">
        <v>686</v>
      </c>
      <c r="D361" s="36" t="s">
        <v>221</v>
      </c>
      <c r="E361" s="38" t="s">
        <v>700</v>
      </c>
      <c r="F361" s="66"/>
    </row>
    <row r="362" spans="1:6" ht="31.5">
      <c r="A362" s="36" t="s">
        <v>218</v>
      </c>
      <c r="B362" s="36" t="s">
        <v>701</v>
      </c>
      <c r="C362" s="37" t="s">
        <v>702</v>
      </c>
      <c r="D362" s="36" t="s">
        <v>202</v>
      </c>
      <c r="E362" s="38" t="s">
        <v>472</v>
      </c>
      <c r="F362" s="66"/>
    </row>
    <row r="363" spans="1:6">
      <c r="A363" s="36" t="s">
        <v>204</v>
      </c>
      <c r="B363" s="36" t="s">
        <v>209</v>
      </c>
      <c r="C363" s="37" t="s">
        <v>210</v>
      </c>
      <c r="D363" s="36" t="s">
        <v>207</v>
      </c>
      <c r="E363" s="38" t="s">
        <v>703</v>
      </c>
      <c r="F363" s="66"/>
    </row>
    <row r="364" spans="1:6">
      <c r="A364" s="36" t="s">
        <v>204</v>
      </c>
      <c r="B364" s="36" t="s">
        <v>690</v>
      </c>
      <c r="C364" s="37" t="s">
        <v>691</v>
      </c>
      <c r="D364" s="36" t="s">
        <v>207</v>
      </c>
      <c r="E364" s="38" t="s">
        <v>704</v>
      </c>
      <c r="F364" s="66"/>
    </row>
    <row r="365" spans="1:6" ht="31.5">
      <c r="A365" s="36" t="s">
        <v>204</v>
      </c>
      <c r="B365" s="36" t="s">
        <v>693</v>
      </c>
      <c r="C365" s="37" t="s">
        <v>694</v>
      </c>
      <c r="D365" s="36" t="s">
        <v>256</v>
      </c>
      <c r="E365" s="38" t="s">
        <v>357</v>
      </c>
      <c r="F365" s="66"/>
    </row>
    <row r="366" spans="1:6" ht="31.5">
      <c r="A366" s="36" t="s">
        <v>204</v>
      </c>
      <c r="B366" s="36" t="s">
        <v>695</v>
      </c>
      <c r="C366" s="37" t="s">
        <v>696</v>
      </c>
      <c r="D366" s="36" t="s">
        <v>260</v>
      </c>
      <c r="E366" s="38" t="s">
        <v>697</v>
      </c>
      <c r="F366" s="66"/>
    </row>
    <row r="367" spans="1:6" ht="31.5">
      <c r="A367" s="574">
        <v>66</v>
      </c>
      <c r="B367" s="574" t="s">
        <v>705</v>
      </c>
      <c r="C367" s="79" t="s">
        <v>706</v>
      </c>
      <c r="D367" s="78" t="s">
        <v>202</v>
      </c>
      <c r="E367" s="80" t="s">
        <v>203</v>
      </c>
      <c r="F367" s="73">
        <v>27.1</v>
      </c>
    </row>
    <row r="368" spans="1:6">
      <c r="A368" s="36" t="s">
        <v>218</v>
      </c>
      <c r="B368" s="39" t="s">
        <v>707</v>
      </c>
      <c r="C368" s="42" t="s">
        <v>708</v>
      </c>
      <c r="D368" s="36" t="s">
        <v>202</v>
      </c>
      <c r="E368" s="38" t="s">
        <v>709</v>
      </c>
      <c r="F368" s="66"/>
    </row>
    <row r="369" spans="1:6">
      <c r="A369" s="36" t="s">
        <v>218</v>
      </c>
      <c r="B369" s="39" t="s">
        <v>710</v>
      </c>
      <c r="C369" s="42" t="s">
        <v>711</v>
      </c>
      <c r="D369" s="36" t="s">
        <v>273</v>
      </c>
      <c r="E369" s="38" t="s">
        <v>712</v>
      </c>
      <c r="F369" s="66"/>
    </row>
    <row r="370" spans="1:6" ht="31.5">
      <c r="A370" s="36" t="s">
        <v>204</v>
      </c>
      <c r="B370" s="39" t="s">
        <v>713</v>
      </c>
      <c r="C370" s="42" t="s">
        <v>714</v>
      </c>
      <c r="D370" s="36" t="s">
        <v>207</v>
      </c>
      <c r="E370" s="38" t="s">
        <v>715</v>
      </c>
      <c r="F370" s="66"/>
    </row>
    <row r="371" spans="1:6" ht="31.5">
      <c r="A371" s="36" t="s">
        <v>204</v>
      </c>
      <c r="B371" s="36" t="s">
        <v>716</v>
      </c>
      <c r="C371" s="37" t="s">
        <v>717</v>
      </c>
      <c r="D371" s="36" t="s">
        <v>207</v>
      </c>
      <c r="E371" s="38" t="s">
        <v>715</v>
      </c>
      <c r="F371" s="66"/>
    </row>
    <row r="372" spans="1:6" ht="31.5">
      <c r="A372" s="78">
        <v>67</v>
      </c>
      <c r="B372" s="78" t="s">
        <v>718</v>
      </c>
      <c r="C372" s="79" t="s">
        <v>719</v>
      </c>
      <c r="D372" s="78" t="s">
        <v>202</v>
      </c>
      <c r="E372" s="80" t="s">
        <v>203</v>
      </c>
      <c r="F372" s="73">
        <v>37.06</v>
      </c>
    </row>
    <row r="373" spans="1:6">
      <c r="A373" s="36" t="s">
        <v>218</v>
      </c>
      <c r="B373" s="36" t="s">
        <v>720</v>
      </c>
      <c r="C373" s="37" t="s">
        <v>721</v>
      </c>
      <c r="D373" s="36" t="s">
        <v>202</v>
      </c>
      <c r="E373" s="38" t="s">
        <v>709</v>
      </c>
      <c r="F373" s="66"/>
    </row>
    <row r="374" spans="1:6">
      <c r="A374" s="36" t="s">
        <v>218</v>
      </c>
      <c r="B374" s="36" t="s">
        <v>710</v>
      </c>
      <c r="C374" s="37" t="s">
        <v>711</v>
      </c>
      <c r="D374" s="36" t="s">
        <v>273</v>
      </c>
      <c r="E374" s="38" t="s">
        <v>722</v>
      </c>
      <c r="F374" s="66"/>
    </row>
    <row r="375" spans="1:6" ht="31.5">
      <c r="A375" s="36" t="s">
        <v>204</v>
      </c>
      <c r="B375" s="36" t="s">
        <v>713</v>
      </c>
      <c r="C375" s="37" t="s">
        <v>714</v>
      </c>
      <c r="D375" s="36" t="s">
        <v>207</v>
      </c>
      <c r="E375" s="38" t="s">
        <v>723</v>
      </c>
      <c r="F375" s="66"/>
    </row>
    <row r="376" spans="1:6" ht="31.5">
      <c r="A376" s="36" t="s">
        <v>204</v>
      </c>
      <c r="B376" s="36" t="s">
        <v>716</v>
      </c>
      <c r="C376" s="37" t="s">
        <v>717</v>
      </c>
      <c r="D376" s="36" t="s">
        <v>207</v>
      </c>
      <c r="E376" s="38" t="s">
        <v>723</v>
      </c>
      <c r="F376" s="66"/>
    </row>
    <row r="377" spans="1:6" ht="31.5">
      <c r="A377" s="78">
        <v>68</v>
      </c>
      <c r="B377" s="78" t="s">
        <v>724</v>
      </c>
      <c r="C377" s="79" t="s">
        <v>725</v>
      </c>
      <c r="D377" s="78" t="s">
        <v>202</v>
      </c>
      <c r="E377" s="80" t="s">
        <v>203</v>
      </c>
      <c r="F377" s="73">
        <v>55.8</v>
      </c>
    </row>
    <row r="378" spans="1:6">
      <c r="A378" s="36" t="s">
        <v>218</v>
      </c>
      <c r="B378" s="36" t="s">
        <v>726</v>
      </c>
      <c r="C378" s="37" t="s">
        <v>727</v>
      </c>
      <c r="D378" s="36" t="s">
        <v>273</v>
      </c>
      <c r="E378" s="38" t="s">
        <v>728</v>
      </c>
      <c r="F378" s="69" t="s">
        <v>203</v>
      </c>
    </row>
    <row r="379" spans="1:6" ht="31.5">
      <c r="A379" s="36" t="s">
        <v>218</v>
      </c>
      <c r="B379" s="36" t="s">
        <v>729</v>
      </c>
      <c r="C379" s="37" t="s">
        <v>730</v>
      </c>
      <c r="D379" s="36" t="s">
        <v>202</v>
      </c>
      <c r="E379" s="38" t="s">
        <v>731</v>
      </c>
      <c r="F379" s="69" t="s">
        <v>203</v>
      </c>
    </row>
    <row r="380" spans="1:6">
      <c r="A380" s="36" t="s">
        <v>218</v>
      </c>
      <c r="B380" s="36" t="s">
        <v>732</v>
      </c>
      <c r="C380" s="37" t="s">
        <v>733</v>
      </c>
      <c r="D380" s="36" t="s">
        <v>273</v>
      </c>
      <c r="E380" s="38" t="s">
        <v>734</v>
      </c>
      <c r="F380" s="69" t="s">
        <v>203</v>
      </c>
    </row>
    <row r="381" spans="1:6">
      <c r="A381" s="36" t="s">
        <v>218</v>
      </c>
      <c r="B381" s="36" t="s">
        <v>710</v>
      </c>
      <c r="C381" s="37" t="s">
        <v>711</v>
      </c>
      <c r="D381" s="36" t="s">
        <v>273</v>
      </c>
      <c r="E381" s="38" t="s">
        <v>735</v>
      </c>
      <c r="F381" s="69" t="s">
        <v>203</v>
      </c>
    </row>
    <row r="382" spans="1:6" ht="31.5">
      <c r="A382" s="36" t="s">
        <v>204</v>
      </c>
      <c r="B382" s="36" t="s">
        <v>713</v>
      </c>
      <c r="C382" s="37" t="s">
        <v>714</v>
      </c>
      <c r="D382" s="36" t="s">
        <v>207</v>
      </c>
      <c r="E382" s="38" t="s">
        <v>736</v>
      </c>
      <c r="F382" s="69" t="s">
        <v>203</v>
      </c>
    </row>
    <row r="383" spans="1:6" ht="31.5">
      <c r="A383" s="36" t="s">
        <v>204</v>
      </c>
      <c r="B383" s="36" t="s">
        <v>716</v>
      </c>
      <c r="C383" s="37" t="s">
        <v>717</v>
      </c>
      <c r="D383" s="36" t="s">
        <v>207</v>
      </c>
      <c r="E383" s="38" t="s">
        <v>736</v>
      </c>
      <c r="F383" s="69" t="s">
        <v>203</v>
      </c>
    </row>
    <row r="384" spans="1:6" ht="53.25" customHeight="1">
      <c r="A384" s="78">
        <v>69</v>
      </c>
      <c r="B384" s="78" t="s">
        <v>737</v>
      </c>
      <c r="C384" s="79" t="s">
        <v>738</v>
      </c>
      <c r="D384" s="78" t="s">
        <v>202</v>
      </c>
      <c r="E384" s="80" t="s">
        <v>203</v>
      </c>
      <c r="F384" s="73">
        <v>43.33</v>
      </c>
    </row>
    <row r="385" spans="1:7">
      <c r="A385" s="36" t="s">
        <v>218</v>
      </c>
      <c r="B385" s="36" t="s">
        <v>726</v>
      </c>
      <c r="C385" s="37" t="s">
        <v>727</v>
      </c>
      <c r="D385" s="36" t="s">
        <v>273</v>
      </c>
      <c r="E385" s="38" t="s">
        <v>739</v>
      </c>
      <c r="F385" s="66" t="s">
        <v>203</v>
      </c>
    </row>
    <row r="386" spans="1:7">
      <c r="A386" s="36" t="s">
        <v>218</v>
      </c>
      <c r="B386" s="36" t="s">
        <v>740</v>
      </c>
      <c r="C386" s="37" t="s">
        <v>741</v>
      </c>
      <c r="D386" s="36" t="s">
        <v>202</v>
      </c>
      <c r="E386" s="38" t="s">
        <v>472</v>
      </c>
      <c r="F386" s="66" t="s">
        <v>203</v>
      </c>
    </row>
    <row r="387" spans="1:7">
      <c r="A387" s="36" t="s">
        <v>218</v>
      </c>
      <c r="B387" s="36" t="s">
        <v>732</v>
      </c>
      <c r="C387" s="37" t="s">
        <v>733</v>
      </c>
      <c r="D387" s="36" t="s">
        <v>273</v>
      </c>
      <c r="E387" s="38" t="s">
        <v>742</v>
      </c>
      <c r="F387" s="66" t="s">
        <v>203</v>
      </c>
    </row>
    <row r="388" spans="1:7">
      <c r="A388" s="36" t="s">
        <v>218</v>
      </c>
      <c r="B388" s="36" t="s">
        <v>710</v>
      </c>
      <c r="C388" s="37" t="s">
        <v>711</v>
      </c>
      <c r="D388" s="36" t="s">
        <v>273</v>
      </c>
      <c r="E388" s="38" t="s">
        <v>421</v>
      </c>
      <c r="F388" s="66" t="s">
        <v>203</v>
      </c>
    </row>
    <row r="389" spans="1:7" ht="31.5">
      <c r="A389" s="36" t="s">
        <v>204</v>
      </c>
      <c r="B389" s="36" t="s">
        <v>713</v>
      </c>
      <c r="C389" s="37" t="s">
        <v>714</v>
      </c>
      <c r="D389" s="36" t="s">
        <v>207</v>
      </c>
      <c r="E389" s="38" t="s">
        <v>743</v>
      </c>
      <c r="F389" s="66" t="s">
        <v>203</v>
      </c>
    </row>
    <row r="390" spans="1:7" ht="31.5">
      <c r="A390" s="36" t="s">
        <v>204</v>
      </c>
      <c r="B390" s="36" t="s">
        <v>716</v>
      </c>
      <c r="C390" s="37" t="s">
        <v>717</v>
      </c>
      <c r="D390" s="36" t="s">
        <v>207</v>
      </c>
      <c r="E390" s="38" t="s">
        <v>743</v>
      </c>
      <c r="F390" s="66" t="s">
        <v>203</v>
      </c>
    </row>
    <row r="391" spans="1:7" ht="47.25">
      <c r="A391" s="78">
        <v>70</v>
      </c>
      <c r="B391" s="78" t="s">
        <v>744</v>
      </c>
      <c r="C391" s="79" t="s">
        <v>745</v>
      </c>
      <c r="D391" s="78" t="s">
        <v>202</v>
      </c>
      <c r="E391" s="80" t="s">
        <v>203</v>
      </c>
      <c r="F391" s="73">
        <v>16.84</v>
      </c>
      <c r="G391" s="77"/>
    </row>
    <row r="392" spans="1:7">
      <c r="A392" s="36" t="s">
        <v>218</v>
      </c>
      <c r="B392" s="36" t="s">
        <v>746</v>
      </c>
      <c r="C392" s="37" t="s">
        <v>747</v>
      </c>
      <c r="D392" s="36" t="s">
        <v>202</v>
      </c>
      <c r="E392" s="38" t="s">
        <v>748</v>
      </c>
      <c r="F392" s="69" t="s">
        <v>203</v>
      </c>
    </row>
    <row r="393" spans="1:7">
      <c r="A393" s="36" t="s">
        <v>204</v>
      </c>
      <c r="B393" s="36" t="s">
        <v>749</v>
      </c>
      <c r="C393" s="37" t="s">
        <v>750</v>
      </c>
      <c r="D393" s="36" t="s">
        <v>207</v>
      </c>
      <c r="E393" s="38" t="s">
        <v>751</v>
      </c>
      <c r="F393" s="69" t="s">
        <v>203</v>
      </c>
    </row>
    <row r="394" spans="1:7">
      <c r="A394" s="36" t="s">
        <v>204</v>
      </c>
      <c r="B394" s="36" t="s">
        <v>752</v>
      </c>
      <c r="C394" s="37" t="s">
        <v>753</v>
      </c>
      <c r="D394" s="36" t="s">
        <v>207</v>
      </c>
      <c r="E394" s="38" t="s">
        <v>751</v>
      </c>
      <c r="F394" s="69" t="s">
        <v>203</v>
      </c>
    </row>
    <row r="395" spans="1:7" ht="47.25">
      <c r="A395" s="78">
        <v>71</v>
      </c>
      <c r="B395" s="78" t="s">
        <v>754</v>
      </c>
      <c r="C395" s="79" t="s">
        <v>755</v>
      </c>
      <c r="D395" s="78" t="s">
        <v>273</v>
      </c>
      <c r="E395" s="80" t="s">
        <v>203</v>
      </c>
      <c r="F395" s="73">
        <v>9.7200000000000006</v>
      </c>
    </row>
    <row r="396" spans="1:7">
      <c r="A396" s="36" t="s">
        <v>218</v>
      </c>
      <c r="B396" s="36" t="s">
        <v>756</v>
      </c>
      <c r="C396" s="37" t="s">
        <v>757</v>
      </c>
      <c r="D396" s="36" t="s">
        <v>273</v>
      </c>
      <c r="E396" s="38" t="s">
        <v>301</v>
      </c>
      <c r="F396" s="69" t="s">
        <v>203</v>
      </c>
    </row>
    <row r="397" spans="1:7">
      <c r="A397" s="36" t="s">
        <v>204</v>
      </c>
      <c r="B397" s="36" t="s">
        <v>749</v>
      </c>
      <c r="C397" s="37" t="s">
        <v>750</v>
      </c>
      <c r="D397" s="36" t="s">
        <v>207</v>
      </c>
      <c r="E397" s="38" t="s">
        <v>758</v>
      </c>
      <c r="F397" s="69" t="s">
        <v>203</v>
      </c>
    </row>
    <row r="398" spans="1:7">
      <c r="A398" s="36" t="s">
        <v>204</v>
      </c>
      <c r="B398" s="36" t="s">
        <v>752</v>
      </c>
      <c r="C398" s="37" t="s">
        <v>753</v>
      </c>
      <c r="D398" s="36" t="s">
        <v>207</v>
      </c>
      <c r="E398" s="38" t="s">
        <v>758</v>
      </c>
      <c r="F398" s="69" t="s">
        <v>203</v>
      </c>
    </row>
    <row r="399" spans="1:7" ht="47.25">
      <c r="A399" s="78">
        <v>72</v>
      </c>
      <c r="B399" s="78" t="s">
        <v>759</v>
      </c>
      <c r="C399" s="79" t="s">
        <v>760</v>
      </c>
      <c r="D399" s="78" t="s">
        <v>273</v>
      </c>
      <c r="E399" s="80" t="s">
        <v>203</v>
      </c>
      <c r="F399" s="73">
        <v>15.88</v>
      </c>
    </row>
    <row r="400" spans="1:7" ht="31.5">
      <c r="A400" s="36" t="s">
        <v>218</v>
      </c>
      <c r="B400" s="36" t="s">
        <v>761</v>
      </c>
      <c r="C400" s="37" t="s">
        <v>762</v>
      </c>
      <c r="D400" s="36" t="s">
        <v>273</v>
      </c>
      <c r="E400" s="38" t="s">
        <v>301</v>
      </c>
      <c r="F400" s="69" t="s">
        <v>203</v>
      </c>
    </row>
    <row r="401" spans="1:6">
      <c r="A401" s="36" t="s">
        <v>204</v>
      </c>
      <c r="B401" s="36" t="s">
        <v>749</v>
      </c>
      <c r="C401" s="37" t="s">
        <v>750</v>
      </c>
      <c r="D401" s="36" t="s">
        <v>207</v>
      </c>
      <c r="E401" s="38" t="s">
        <v>293</v>
      </c>
      <c r="F401" s="69" t="s">
        <v>203</v>
      </c>
    </row>
    <row r="402" spans="1:6">
      <c r="A402" s="36" t="s">
        <v>204</v>
      </c>
      <c r="B402" s="36" t="s">
        <v>752</v>
      </c>
      <c r="C402" s="37" t="s">
        <v>753</v>
      </c>
      <c r="D402" s="36" t="s">
        <v>207</v>
      </c>
      <c r="E402" s="38" t="s">
        <v>293</v>
      </c>
      <c r="F402" s="69" t="s">
        <v>203</v>
      </c>
    </row>
    <row r="403" spans="1:6" ht="31.5">
      <c r="A403" s="78">
        <v>73</v>
      </c>
      <c r="B403" s="78" t="s">
        <v>763</v>
      </c>
      <c r="C403" s="79" t="s">
        <v>764</v>
      </c>
      <c r="D403" s="78" t="s">
        <v>202</v>
      </c>
      <c r="E403" s="80" t="s">
        <v>203</v>
      </c>
      <c r="F403" s="73">
        <v>5.2</v>
      </c>
    </row>
    <row r="404" spans="1:6" ht="31.5">
      <c r="A404" s="36" t="s">
        <v>218</v>
      </c>
      <c r="B404" s="36" t="s">
        <v>153</v>
      </c>
      <c r="C404" s="37" t="s">
        <v>765</v>
      </c>
      <c r="D404" s="36" t="s">
        <v>202</v>
      </c>
      <c r="E404" s="38" t="s">
        <v>766</v>
      </c>
      <c r="F404" s="69" t="s">
        <v>203</v>
      </c>
    </row>
    <row r="405" spans="1:6" ht="31.5">
      <c r="A405" s="36" t="s">
        <v>218</v>
      </c>
      <c r="B405" s="36" t="s">
        <v>767</v>
      </c>
      <c r="C405" s="37" t="s">
        <v>768</v>
      </c>
      <c r="D405" s="36" t="s">
        <v>273</v>
      </c>
      <c r="E405" s="38" t="s">
        <v>769</v>
      </c>
      <c r="F405" s="69" t="s">
        <v>203</v>
      </c>
    </row>
    <row r="406" spans="1:6">
      <c r="A406" s="36" t="s">
        <v>204</v>
      </c>
      <c r="B406" s="36" t="s">
        <v>749</v>
      </c>
      <c r="C406" s="37" t="s">
        <v>750</v>
      </c>
      <c r="D406" s="36" t="s">
        <v>207</v>
      </c>
      <c r="E406" s="38" t="s">
        <v>770</v>
      </c>
      <c r="F406" s="66" t="s">
        <v>203</v>
      </c>
    </row>
    <row r="407" spans="1:6">
      <c r="A407" s="36" t="s">
        <v>204</v>
      </c>
      <c r="B407" s="36" t="s">
        <v>752</v>
      </c>
      <c r="C407" s="37" t="s">
        <v>753</v>
      </c>
      <c r="D407" s="36" t="s">
        <v>207</v>
      </c>
      <c r="E407" s="38" t="s">
        <v>770</v>
      </c>
      <c r="F407" s="66" t="s">
        <v>203</v>
      </c>
    </row>
    <row r="408" spans="1:6" ht="31.5">
      <c r="A408" s="78">
        <v>74</v>
      </c>
      <c r="B408" s="78" t="s">
        <v>771</v>
      </c>
      <c r="C408" s="79" t="s">
        <v>772</v>
      </c>
      <c r="D408" s="78" t="s">
        <v>202</v>
      </c>
      <c r="E408" s="80" t="s">
        <v>203</v>
      </c>
      <c r="F408" s="73">
        <v>8.07</v>
      </c>
    </row>
    <row r="409" spans="1:6" ht="31.5">
      <c r="A409" s="36" t="s">
        <v>218</v>
      </c>
      <c r="B409" s="36" t="s">
        <v>155</v>
      </c>
      <c r="C409" s="37" t="s">
        <v>773</v>
      </c>
      <c r="D409" s="36" t="s">
        <v>202</v>
      </c>
      <c r="E409" s="38" t="s">
        <v>766</v>
      </c>
      <c r="F409" s="69" t="s">
        <v>203</v>
      </c>
    </row>
    <row r="410" spans="1:6" ht="31.5">
      <c r="A410" s="36" t="s">
        <v>218</v>
      </c>
      <c r="B410" s="36" t="s">
        <v>767</v>
      </c>
      <c r="C410" s="37" t="s">
        <v>768</v>
      </c>
      <c r="D410" s="36" t="s">
        <v>273</v>
      </c>
      <c r="E410" s="38" t="s">
        <v>769</v>
      </c>
      <c r="F410" s="69" t="s">
        <v>203</v>
      </c>
    </row>
    <row r="411" spans="1:6">
      <c r="A411" s="36" t="s">
        <v>204</v>
      </c>
      <c r="B411" s="36" t="s">
        <v>749</v>
      </c>
      <c r="C411" s="37" t="s">
        <v>750</v>
      </c>
      <c r="D411" s="36" t="s">
        <v>207</v>
      </c>
      <c r="E411" s="38" t="s">
        <v>442</v>
      </c>
      <c r="F411" s="69" t="s">
        <v>203</v>
      </c>
    </row>
    <row r="412" spans="1:6">
      <c r="A412" s="36" t="s">
        <v>204</v>
      </c>
      <c r="B412" s="36" t="s">
        <v>752</v>
      </c>
      <c r="C412" s="37" t="s">
        <v>753</v>
      </c>
      <c r="D412" s="36" t="s">
        <v>207</v>
      </c>
      <c r="E412" s="38" t="s">
        <v>442</v>
      </c>
      <c r="F412" s="69" t="s">
        <v>203</v>
      </c>
    </row>
    <row r="413" spans="1:6" ht="31.5">
      <c r="A413" s="78">
        <v>75</v>
      </c>
      <c r="B413" s="78" t="s">
        <v>774</v>
      </c>
      <c r="C413" s="79" t="s">
        <v>775</v>
      </c>
      <c r="D413" s="78" t="s">
        <v>202</v>
      </c>
      <c r="E413" s="80" t="s">
        <v>203</v>
      </c>
      <c r="F413" s="73">
        <v>11.28</v>
      </c>
    </row>
    <row r="414" spans="1:6" ht="31.5">
      <c r="A414" s="36" t="s">
        <v>218</v>
      </c>
      <c r="B414" s="36" t="s">
        <v>776</v>
      </c>
      <c r="C414" s="37" t="s">
        <v>777</v>
      </c>
      <c r="D414" s="36" t="s">
        <v>202</v>
      </c>
      <c r="E414" s="38" t="s">
        <v>766</v>
      </c>
      <c r="F414" s="69" t="s">
        <v>203</v>
      </c>
    </row>
    <row r="415" spans="1:6" ht="31.5">
      <c r="A415" s="36" t="s">
        <v>218</v>
      </c>
      <c r="B415" s="36" t="s">
        <v>767</v>
      </c>
      <c r="C415" s="37" t="s">
        <v>768</v>
      </c>
      <c r="D415" s="36" t="s">
        <v>273</v>
      </c>
      <c r="E415" s="38" t="s">
        <v>769</v>
      </c>
      <c r="F415" s="69" t="s">
        <v>203</v>
      </c>
    </row>
    <row r="416" spans="1:6">
      <c r="A416" s="36" t="s">
        <v>204</v>
      </c>
      <c r="B416" s="36" t="s">
        <v>749</v>
      </c>
      <c r="C416" s="37" t="s">
        <v>750</v>
      </c>
      <c r="D416" s="36" t="s">
        <v>207</v>
      </c>
      <c r="E416" s="38" t="s">
        <v>778</v>
      </c>
      <c r="F416" s="69" t="s">
        <v>203</v>
      </c>
    </row>
    <row r="417" spans="1:6">
      <c r="A417" s="36" t="s">
        <v>204</v>
      </c>
      <c r="B417" s="36" t="s">
        <v>752</v>
      </c>
      <c r="C417" s="37" t="s">
        <v>753</v>
      </c>
      <c r="D417" s="36" t="s">
        <v>207</v>
      </c>
      <c r="E417" s="38" t="s">
        <v>778</v>
      </c>
      <c r="F417" s="69" t="s">
        <v>203</v>
      </c>
    </row>
    <row r="418" spans="1:6" ht="47.25">
      <c r="A418" s="78">
        <v>76</v>
      </c>
      <c r="B418" s="78" t="s">
        <v>779</v>
      </c>
      <c r="C418" s="79" t="s">
        <v>780</v>
      </c>
      <c r="D418" s="78" t="s">
        <v>273</v>
      </c>
      <c r="E418" s="80" t="s">
        <v>203</v>
      </c>
      <c r="F418" s="73">
        <v>30.17</v>
      </c>
    </row>
    <row r="419" spans="1:6" ht="31.5">
      <c r="A419" s="36" t="s">
        <v>218</v>
      </c>
      <c r="B419" s="36" t="s">
        <v>781</v>
      </c>
      <c r="C419" s="37" t="s">
        <v>782</v>
      </c>
      <c r="D419" s="36" t="s">
        <v>273</v>
      </c>
      <c r="E419" s="38" t="s">
        <v>301</v>
      </c>
      <c r="F419" s="69" t="s">
        <v>203</v>
      </c>
    </row>
    <row r="420" spans="1:6" ht="31.5">
      <c r="A420" s="36" t="s">
        <v>218</v>
      </c>
      <c r="B420" s="36" t="s">
        <v>641</v>
      </c>
      <c r="C420" s="37" t="s">
        <v>642</v>
      </c>
      <c r="D420" s="36" t="s">
        <v>273</v>
      </c>
      <c r="E420" s="38" t="s">
        <v>603</v>
      </c>
      <c r="F420" s="66" t="s">
        <v>203</v>
      </c>
    </row>
    <row r="421" spans="1:6">
      <c r="A421" s="36" t="s">
        <v>204</v>
      </c>
      <c r="B421" s="36" t="s">
        <v>749</v>
      </c>
      <c r="C421" s="37" t="s">
        <v>750</v>
      </c>
      <c r="D421" s="36" t="s">
        <v>207</v>
      </c>
      <c r="E421" s="38" t="s">
        <v>783</v>
      </c>
      <c r="F421" s="66" t="s">
        <v>203</v>
      </c>
    </row>
    <row r="422" spans="1:6">
      <c r="A422" s="36" t="s">
        <v>204</v>
      </c>
      <c r="B422" s="36" t="s">
        <v>752</v>
      </c>
      <c r="C422" s="37" t="s">
        <v>753</v>
      </c>
      <c r="D422" s="36" t="s">
        <v>207</v>
      </c>
      <c r="E422" s="38" t="s">
        <v>783</v>
      </c>
      <c r="F422" s="66" t="s">
        <v>203</v>
      </c>
    </row>
    <row r="423" spans="1:6" ht="47.25">
      <c r="A423" s="78">
        <v>77</v>
      </c>
      <c r="B423" s="78" t="s">
        <v>784</v>
      </c>
      <c r="C423" s="79" t="s">
        <v>785</v>
      </c>
      <c r="D423" s="78" t="s">
        <v>273</v>
      </c>
      <c r="E423" s="80" t="s">
        <v>203</v>
      </c>
      <c r="F423" s="73">
        <v>28.84</v>
      </c>
    </row>
    <row r="424" spans="1:6" ht="31.5">
      <c r="A424" s="36" t="s">
        <v>218</v>
      </c>
      <c r="B424" s="36" t="s">
        <v>786</v>
      </c>
      <c r="C424" s="37" t="s">
        <v>787</v>
      </c>
      <c r="D424" s="36" t="s">
        <v>273</v>
      </c>
      <c r="E424" s="38" t="s">
        <v>301</v>
      </c>
      <c r="F424" s="69" t="s">
        <v>203</v>
      </c>
    </row>
    <row r="425" spans="1:6" ht="47.25">
      <c r="A425" s="78">
        <v>78</v>
      </c>
      <c r="B425" s="78" t="s">
        <v>788</v>
      </c>
      <c r="C425" s="79" t="s">
        <v>789</v>
      </c>
      <c r="D425" s="78" t="s">
        <v>273</v>
      </c>
      <c r="E425" s="80" t="s">
        <v>203</v>
      </c>
      <c r="F425" s="73">
        <v>35.17</v>
      </c>
    </row>
    <row r="426" spans="1:6" ht="31.5">
      <c r="A426" s="36" t="s">
        <v>218</v>
      </c>
      <c r="B426" s="36" t="s">
        <v>790</v>
      </c>
      <c r="C426" s="37" t="s">
        <v>791</v>
      </c>
      <c r="D426" s="36" t="s">
        <v>273</v>
      </c>
      <c r="E426" s="38" t="s">
        <v>301</v>
      </c>
      <c r="F426" s="69" t="s">
        <v>203</v>
      </c>
    </row>
    <row r="427" spans="1:6" ht="31.5">
      <c r="A427" s="36" t="s">
        <v>218</v>
      </c>
      <c r="B427" s="36" t="s">
        <v>641</v>
      </c>
      <c r="C427" s="37" t="s">
        <v>642</v>
      </c>
      <c r="D427" s="36" t="s">
        <v>273</v>
      </c>
      <c r="E427" s="38" t="s">
        <v>603</v>
      </c>
      <c r="F427" s="69" t="s">
        <v>203</v>
      </c>
    </row>
    <row r="428" spans="1:6">
      <c r="A428" s="36" t="s">
        <v>204</v>
      </c>
      <c r="B428" s="36" t="s">
        <v>749</v>
      </c>
      <c r="C428" s="37" t="s">
        <v>750</v>
      </c>
      <c r="D428" s="36" t="s">
        <v>207</v>
      </c>
      <c r="E428" s="38" t="s">
        <v>792</v>
      </c>
      <c r="F428" s="66" t="s">
        <v>203</v>
      </c>
    </row>
    <row r="429" spans="1:6">
      <c r="A429" s="36" t="s">
        <v>204</v>
      </c>
      <c r="B429" s="36" t="s">
        <v>752</v>
      </c>
      <c r="C429" s="37" t="s">
        <v>753</v>
      </c>
      <c r="D429" s="36" t="s">
        <v>207</v>
      </c>
      <c r="E429" s="38" t="s">
        <v>792</v>
      </c>
      <c r="F429" s="66" t="s">
        <v>203</v>
      </c>
    </row>
    <row r="430" spans="1:6" ht="31.5">
      <c r="A430" s="78">
        <v>79</v>
      </c>
      <c r="B430" s="78" t="s">
        <v>793</v>
      </c>
      <c r="C430" s="72" t="s">
        <v>794</v>
      </c>
      <c r="D430" s="78" t="s">
        <v>273</v>
      </c>
      <c r="E430" s="80" t="s">
        <v>203</v>
      </c>
      <c r="F430" s="73">
        <v>29.06</v>
      </c>
    </row>
    <row r="431" spans="1:6" ht="31.5">
      <c r="A431" s="36" t="s">
        <v>218</v>
      </c>
      <c r="B431" s="36" t="s">
        <v>641</v>
      </c>
      <c r="C431" s="37" t="s">
        <v>642</v>
      </c>
      <c r="D431" s="36" t="s">
        <v>273</v>
      </c>
      <c r="E431" s="38" t="s">
        <v>603</v>
      </c>
      <c r="F431" s="66" t="s">
        <v>203</v>
      </c>
    </row>
    <row r="432" spans="1:6">
      <c r="A432" s="36" t="s">
        <v>218</v>
      </c>
      <c r="B432" s="36" t="s">
        <v>795</v>
      </c>
      <c r="C432" s="37" t="s">
        <v>796</v>
      </c>
      <c r="D432" s="36" t="s">
        <v>273</v>
      </c>
      <c r="E432" s="38" t="s">
        <v>301</v>
      </c>
      <c r="F432" s="66" t="s">
        <v>203</v>
      </c>
    </row>
    <row r="433" spans="1:6">
      <c r="A433" s="36" t="s">
        <v>204</v>
      </c>
      <c r="B433" s="36" t="s">
        <v>749</v>
      </c>
      <c r="C433" s="37" t="s">
        <v>750</v>
      </c>
      <c r="D433" s="36" t="s">
        <v>207</v>
      </c>
      <c r="E433" s="38" t="s">
        <v>797</v>
      </c>
      <c r="F433" s="66" t="s">
        <v>203</v>
      </c>
    </row>
    <row r="434" spans="1:6">
      <c r="A434" s="36" t="s">
        <v>204</v>
      </c>
      <c r="B434" s="36" t="s">
        <v>752</v>
      </c>
      <c r="C434" s="37" t="s">
        <v>753</v>
      </c>
      <c r="D434" s="36" t="s">
        <v>207</v>
      </c>
      <c r="E434" s="38" t="s">
        <v>797</v>
      </c>
      <c r="F434" s="66" t="s">
        <v>203</v>
      </c>
    </row>
    <row r="435" spans="1:6" ht="47.25">
      <c r="A435" s="78">
        <v>80</v>
      </c>
      <c r="B435" s="78">
        <v>97238</v>
      </c>
      <c r="C435" s="79" t="s">
        <v>798</v>
      </c>
      <c r="D435" s="78" t="s">
        <v>202</v>
      </c>
      <c r="E435" s="118" t="s">
        <v>203</v>
      </c>
      <c r="F435" s="73">
        <f>(E436*F436)+(E437*F437)+(E438*F438)+(E439*F439)+(E440*F440)</f>
        <v>150.20164399999999</v>
      </c>
    </row>
    <row r="436" spans="1:6" ht="36" customHeight="1">
      <c r="A436" s="36" t="s">
        <v>204</v>
      </c>
      <c r="B436" s="36" t="s">
        <v>1453</v>
      </c>
      <c r="C436" s="37" t="s">
        <v>1459</v>
      </c>
      <c r="D436" s="36" t="s">
        <v>273</v>
      </c>
      <c r="E436" s="38">
        <v>0.33300000000000002</v>
      </c>
      <c r="F436" s="469">
        <v>9.6199999999999992</v>
      </c>
    </row>
    <row r="437" spans="1:6" ht="47.25">
      <c r="A437" s="36" t="s">
        <v>204</v>
      </c>
      <c r="B437" s="36">
        <v>96562</v>
      </c>
      <c r="C437" s="37" t="s">
        <v>1460</v>
      </c>
      <c r="D437" s="36" t="s">
        <v>202</v>
      </c>
      <c r="E437" s="38">
        <v>1</v>
      </c>
      <c r="F437" s="69">
        <v>54.86</v>
      </c>
    </row>
    <row r="438" spans="1:6">
      <c r="A438" s="36" t="s">
        <v>204</v>
      </c>
      <c r="B438" s="36">
        <v>88264</v>
      </c>
      <c r="C438" s="37" t="s">
        <v>753</v>
      </c>
      <c r="D438" s="36" t="s">
        <v>207</v>
      </c>
      <c r="E438" s="38">
        <v>8.5199999999999998E-2</v>
      </c>
      <c r="F438" s="69">
        <v>33.25</v>
      </c>
    </row>
    <row r="439" spans="1:6">
      <c r="A439" s="36" t="s">
        <v>204</v>
      </c>
      <c r="B439" s="36">
        <v>88247</v>
      </c>
      <c r="C439" s="37" t="s">
        <v>750</v>
      </c>
      <c r="D439" s="36" t="s">
        <v>207</v>
      </c>
      <c r="E439" s="38">
        <v>8.5199999999999998E-2</v>
      </c>
      <c r="F439" s="69">
        <v>26.42</v>
      </c>
    </row>
    <row r="440" spans="1:6" ht="47.25">
      <c r="A440" s="36" t="s">
        <v>218</v>
      </c>
      <c r="B440" s="36" t="s">
        <v>1453</v>
      </c>
      <c r="C440" s="37" t="s">
        <v>1458</v>
      </c>
      <c r="D440" s="36" t="s">
        <v>202</v>
      </c>
      <c r="E440" s="38">
        <v>0.98199999999999998</v>
      </c>
      <c r="F440" s="69">
        <v>88.65</v>
      </c>
    </row>
    <row r="441" spans="1:6" ht="22.5" customHeight="1">
      <c r="A441" s="78">
        <v>81</v>
      </c>
      <c r="B441" s="78" t="s">
        <v>297</v>
      </c>
      <c r="C441" s="79" t="s">
        <v>799</v>
      </c>
      <c r="D441" s="78" t="s">
        <v>214</v>
      </c>
      <c r="E441" s="80"/>
      <c r="F441" s="73">
        <f>(E442*F442)+(E443*F443)</f>
        <v>6.2955599999999992</v>
      </c>
    </row>
    <row r="442" spans="1:6">
      <c r="A442" s="36" t="s">
        <v>218</v>
      </c>
      <c r="B442" s="36">
        <v>44329</v>
      </c>
      <c r="C442" s="37" t="s">
        <v>653</v>
      </c>
      <c r="D442" s="36" t="s">
        <v>266</v>
      </c>
      <c r="E442" s="87">
        <v>6.0000000000000001E-3</v>
      </c>
      <c r="F442" s="69">
        <v>11.38</v>
      </c>
    </row>
    <row r="443" spans="1:6">
      <c r="A443" s="36" t="s">
        <v>652</v>
      </c>
      <c r="B443" s="36">
        <v>88316</v>
      </c>
      <c r="C443" s="37" t="s">
        <v>210</v>
      </c>
      <c r="D443" s="36" t="s">
        <v>207</v>
      </c>
      <c r="E443" s="87">
        <v>0.248</v>
      </c>
      <c r="F443" s="69">
        <f>F31</f>
        <v>25.11</v>
      </c>
    </row>
    <row r="444" spans="1:6" ht="47.25">
      <c r="A444" s="78">
        <v>82</v>
      </c>
      <c r="B444" s="78" t="s">
        <v>800</v>
      </c>
      <c r="C444" s="79" t="s">
        <v>801</v>
      </c>
      <c r="D444" s="78" t="s">
        <v>202</v>
      </c>
      <c r="E444" s="80" t="s">
        <v>203</v>
      </c>
      <c r="F444" s="73">
        <v>55.73</v>
      </c>
    </row>
    <row r="445" spans="1:6" ht="31.5">
      <c r="A445" s="36" t="s">
        <v>218</v>
      </c>
      <c r="B445" s="36" t="s">
        <v>802</v>
      </c>
      <c r="C445" s="37" t="s">
        <v>803</v>
      </c>
      <c r="D445" s="36" t="s">
        <v>202</v>
      </c>
      <c r="E445" s="38" t="s">
        <v>804</v>
      </c>
      <c r="F445" s="66"/>
    </row>
    <row r="446" spans="1:6" ht="31.5">
      <c r="A446" s="36" t="s">
        <v>204</v>
      </c>
      <c r="B446" s="36" t="s">
        <v>713</v>
      </c>
      <c r="C446" s="37" t="s">
        <v>714</v>
      </c>
      <c r="D446" s="36" t="s">
        <v>207</v>
      </c>
      <c r="E446" s="38" t="s">
        <v>630</v>
      </c>
      <c r="F446" s="66"/>
    </row>
    <row r="447" spans="1:6" ht="31.5">
      <c r="A447" s="36" t="s">
        <v>204</v>
      </c>
      <c r="B447" s="36" t="s">
        <v>716</v>
      </c>
      <c r="C447" s="37" t="s">
        <v>717</v>
      </c>
      <c r="D447" s="36" t="s">
        <v>207</v>
      </c>
      <c r="E447" s="38" t="s">
        <v>630</v>
      </c>
      <c r="F447" s="66"/>
    </row>
    <row r="448" spans="1:6" ht="47.25">
      <c r="A448" s="78">
        <v>83</v>
      </c>
      <c r="B448" s="78" t="s">
        <v>805</v>
      </c>
      <c r="C448" s="79" t="s">
        <v>806</v>
      </c>
      <c r="D448" s="78" t="s">
        <v>202</v>
      </c>
      <c r="E448" s="80" t="s">
        <v>203</v>
      </c>
      <c r="F448" s="73">
        <v>64.28</v>
      </c>
    </row>
    <row r="449" spans="1:6" ht="31.5">
      <c r="A449" s="36" t="s">
        <v>218</v>
      </c>
      <c r="B449" s="36" t="s">
        <v>807</v>
      </c>
      <c r="C449" s="37" t="s">
        <v>808</v>
      </c>
      <c r="D449" s="36" t="s">
        <v>202</v>
      </c>
      <c r="E449" s="38" t="s">
        <v>804</v>
      </c>
      <c r="F449" s="69"/>
    </row>
    <row r="450" spans="1:6" ht="31.5">
      <c r="A450" s="36" t="s">
        <v>204</v>
      </c>
      <c r="B450" s="36" t="s">
        <v>713</v>
      </c>
      <c r="C450" s="37" t="s">
        <v>714</v>
      </c>
      <c r="D450" s="36" t="s">
        <v>207</v>
      </c>
      <c r="E450" s="38" t="s">
        <v>809</v>
      </c>
      <c r="F450" s="69" t="s">
        <v>203</v>
      </c>
    </row>
    <row r="451" spans="1:6" ht="31.5">
      <c r="A451" s="36" t="s">
        <v>204</v>
      </c>
      <c r="B451" s="36" t="s">
        <v>716</v>
      </c>
      <c r="C451" s="37" t="s">
        <v>717</v>
      </c>
      <c r="D451" s="36" t="s">
        <v>207</v>
      </c>
      <c r="E451" s="38" t="s">
        <v>809</v>
      </c>
      <c r="F451" s="69" t="s">
        <v>203</v>
      </c>
    </row>
    <row r="452" spans="1:6" ht="47.25">
      <c r="A452" s="78">
        <v>84</v>
      </c>
      <c r="B452" s="78" t="s">
        <v>810</v>
      </c>
      <c r="C452" s="79" t="s">
        <v>811</v>
      </c>
      <c r="D452" s="78" t="s">
        <v>202</v>
      </c>
      <c r="E452" s="80" t="s">
        <v>203</v>
      </c>
      <c r="F452" s="73">
        <v>61.01</v>
      </c>
    </row>
    <row r="453" spans="1:6" ht="31.5">
      <c r="A453" s="36" t="s">
        <v>218</v>
      </c>
      <c r="B453" s="36" t="s">
        <v>802</v>
      </c>
      <c r="C453" s="37" t="s">
        <v>803</v>
      </c>
      <c r="D453" s="36" t="s">
        <v>202</v>
      </c>
      <c r="E453" s="38" t="s">
        <v>804</v>
      </c>
      <c r="F453" s="69" t="s">
        <v>203</v>
      </c>
    </row>
    <row r="454" spans="1:6" ht="31.5">
      <c r="A454" s="36" t="s">
        <v>204</v>
      </c>
      <c r="B454" s="36" t="s">
        <v>713</v>
      </c>
      <c r="C454" s="37" t="s">
        <v>714</v>
      </c>
      <c r="D454" s="36" t="s">
        <v>207</v>
      </c>
      <c r="E454" s="38" t="s">
        <v>280</v>
      </c>
      <c r="F454" s="69" t="s">
        <v>203</v>
      </c>
    </row>
    <row r="455" spans="1:6" ht="31.5">
      <c r="A455" s="36" t="s">
        <v>204</v>
      </c>
      <c r="B455" s="36" t="s">
        <v>716</v>
      </c>
      <c r="C455" s="37" t="s">
        <v>717</v>
      </c>
      <c r="D455" s="36" t="s">
        <v>207</v>
      </c>
      <c r="E455" s="38" t="s">
        <v>280</v>
      </c>
      <c r="F455" s="69" t="s">
        <v>203</v>
      </c>
    </row>
    <row r="456" spans="1:6" ht="31.5">
      <c r="A456" s="78">
        <v>85</v>
      </c>
      <c r="B456" s="78" t="s">
        <v>812</v>
      </c>
      <c r="C456" s="79" t="s">
        <v>1461</v>
      </c>
      <c r="D456" s="78" t="s">
        <v>273</v>
      </c>
      <c r="E456" s="80" t="s">
        <v>203</v>
      </c>
      <c r="F456" s="73">
        <v>693.67</v>
      </c>
    </row>
    <row r="457" spans="1:6" ht="47.25">
      <c r="A457" s="36" t="s">
        <v>218</v>
      </c>
      <c r="B457" s="36" t="s">
        <v>813</v>
      </c>
      <c r="C457" s="37" t="s">
        <v>814</v>
      </c>
      <c r="D457" s="36" t="s">
        <v>273</v>
      </c>
      <c r="E457" s="38" t="s">
        <v>603</v>
      </c>
      <c r="F457" s="66" t="s">
        <v>203</v>
      </c>
    </row>
    <row r="458" spans="1:6" ht="31.5">
      <c r="A458" s="36" t="s">
        <v>218</v>
      </c>
      <c r="B458" s="36" t="s">
        <v>815</v>
      </c>
      <c r="C458" s="37" t="s">
        <v>816</v>
      </c>
      <c r="D458" s="36" t="s">
        <v>273</v>
      </c>
      <c r="E458" s="38" t="s">
        <v>301</v>
      </c>
      <c r="F458" s="66" t="s">
        <v>203</v>
      </c>
    </row>
    <row r="459" spans="1:6" ht="31.5">
      <c r="A459" s="36" t="s">
        <v>204</v>
      </c>
      <c r="B459" s="36" t="s">
        <v>713</v>
      </c>
      <c r="C459" s="37" t="s">
        <v>714</v>
      </c>
      <c r="D459" s="36" t="s">
        <v>207</v>
      </c>
      <c r="E459" s="38" t="s">
        <v>817</v>
      </c>
      <c r="F459" s="66" t="s">
        <v>203</v>
      </c>
    </row>
    <row r="460" spans="1:6" ht="31.5">
      <c r="A460" s="36" t="s">
        <v>204</v>
      </c>
      <c r="B460" s="36" t="s">
        <v>716</v>
      </c>
      <c r="C460" s="37" t="s">
        <v>717</v>
      </c>
      <c r="D460" s="36" t="s">
        <v>207</v>
      </c>
      <c r="E460" s="38" t="s">
        <v>817</v>
      </c>
      <c r="F460" s="66" t="s">
        <v>203</v>
      </c>
    </row>
    <row r="461" spans="1:6" ht="31.5">
      <c r="A461" s="78">
        <v>86</v>
      </c>
      <c r="B461" s="78" t="s">
        <v>818</v>
      </c>
      <c r="C461" s="79" t="s">
        <v>1462</v>
      </c>
      <c r="D461" s="78" t="s">
        <v>273</v>
      </c>
      <c r="E461" s="80" t="s">
        <v>203</v>
      </c>
      <c r="F461" s="73">
        <v>248.67</v>
      </c>
    </row>
    <row r="462" spans="1:6" ht="38.25" customHeight="1">
      <c r="A462" s="36" t="s">
        <v>218</v>
      </c>
      <c r="B462" s="36" t="s">
        <v>813</v>
      </c>
      <c r="C462" s="37" t="s">
        <v>814</v>
      </c>
      <c r="D462" s="36" t="s">
        <v>273</v>
      </c>
      <c r="E462" s="38" t="s">
        <v>603</v>
      </c>
      <c r="F462" s="66" t="s">
        <v>203</v>
      </c>
    </row>
    <row r="463" spans="1:6" ht="31.5">
      <c r="A463" s="36" t="s">
        <v>218</v>
      </c>
      <c r="B463" s="36" t="s">
        <v>819</v>
      </c>
      <c r="C463" s="37" t="s">
        <v>820</v>
      </c>
      <c r="D463" s="36" t="s">
        <v>273</v>
      </c>
      <c r="E463" s="38" t="s">
        <v>301</v>
      </c>
      <c r="F463" s="66" t="s">
        <v>203</v>
      </c>
    </row>
    <row r="464" spans="1:6" ht="31.5">
      <c r="A464" s="36" t="s">
        <v>204</v>
      </c>
      <c r="B464" s="36" t="s">
        <v>713</v>
      </c>
      <c r="C464" s="37" t="s">
        <v>714</v>
      </c>
      <c r="D464" s="36" t="s">
        <v>207</v>
      </c>
      <c r="E464" s="38" t="s">
        <v>817</v>
      </c>
      <c r="F464" s="66" t="s">
        <v>203</v>
      </c>
    </row>
    <row r="465" spans="1:11" ht="31.5">
      <c r="A465" s="36" t="s">
        <v>204</v>
      </c>
      <c r="B465" s="36" t="s">
        <v>716</v>
      </c>
      <c r="C465" s="37" t="s">
        <v>717</v>
      </c>
      <c r="D465" s="36" t="s">
        <v>207</v>
      </c>
      <c r="E465" s="38" t="s">
        <v>817</v>
      </c>
      <c r="F465" s="66" t="s">
        <v>203</v>
      </c>
      <c r="H465" s="34" t="s">
        <v>1463</v>
      </c>
      <c r="I465" s="34" t="s">
        <v>1469</v>
      </c>
    </row>
    <row r="466" spans="1:11" ht="31.5">
      <c r="A466" s="78">
        <v>87</v>
      </c>
      <c r="B466" s="78" t="s">
        <v>297</v>
      </c>
      <c r="C466" s="79" t="s">
        <v>822</v>
      </c>
      <c r="D466" s="78" t="s">
        <v>79</v>
      </c>
      <c r="E466" s="78"/>
      <c r="F466" s="73">
        <f>ROUND(AVERAGE(H466:K466),2)</f>
        <v>16.88</v>
      </c>
      <c r="G466" s="116"/>
      <c r="H466" s="130">
        <v>17</v>
      </c>
      <c r="I466" s="130">
        <v>16.75</v>
      </c>
      <c r="J466" s="130"/>
      <c r="K466" s="131"/>
    </row>
    <row r="467" spans="1:11" ht="31.5">
      <c r="A467" s="78">
        <v>88</v>
      </c>
      <c r="B467" s="78" t="s">
        <v>297</v>
      </c>
      <c r="C467" s="79" t="s">
        <v>823</v>
      </c>
      <c r="D467" s="78" t="s">
        <v>79</v>
      </c>
      <c r="E467" s="78"/>
      <c r="F467" s="73">
        <f t="shared" ref="F467:F476" si="2">ROUND(AVERAGE(H467:K467),2)</f>
        <v>23.63</v>
      </c>
      <c r="G467" s="116"/>
      <c r="H467" s="130">
        <v>25</v>
      </c>
      <c r="I467" s="130">
        <v>22.25</v>
      </c>
      <c r="J467" s="130"/>
      <c r="K467" s="131"/>
    </row>
    <row r="468" spans="1:11">
      <c r="A468" s="78">
        <v>89</v>
      </c>
      <c r="B468" s="78" t="s">
        <v>297</v>
      </c>
      <c r="C468" s="79" t="s">
        <v>824</v>
      </c>
      <c r="D468" s="78" t="s">
        <v>79</v>
      </c>
      <c r="E468" s="78"/>
      <c r="F468" s="73">
        <f t="shared" si="2"/>
        <v>23.63</v>
      </c>
      <c r="G468" s="116"/>
      <c r="H468" s="130">
        <v>25</v>
      </c>
      <c r="I468" s="130">
        <v>22.25</v>
      </c>
      <c r="J468" s="130"/>
      <c r="K468" s="131"/>
    </row>
    <row r="469" spans="1:11" ht="31.5">
      <c r="A469" s="78">
        <v>90</v>
      </c>
      <c r="B469" s="78" t="s">
        <v>297</v>
      </c>
      <c r="C469" s="79" t="s">
        <v>825</v>
      </c>
      <c r="D469" s="78" t="s">
        <v>79</v>
      </c>
      <c r="E469" s="78"/>
      <c r="F469" s="73">
        <f t="shared" si="2"/>
        <v>15.35</v>
      </c>
      <c r="G469" s="116"/>
      <c r="H469" s="130">
        <v>17</v>
      </c>
      <c r="I469" s="130">
        <v>13.7</v>
      </c>
      <c r="J469" s="130"/>
      <c r="K469" s="131"/>
    </row>
    <row r="470" spans="1:11" ht="17.25">
      <c r="A470" s="78">
        <v>91</v>
      </c>
      <c r="B470" s="78" t="s">
        <v>297</v>
      </c>
      <c r="C470" s="79" t="s">
        <v>826</v>
      </c>
      <c r="D470" s="78" t="s">
        <v>79</v>
      </c>
      <c r="E470" s="78"/>
      <c r="F470" s="73">
        <f t="shared" si="2"/>
        <v>65.03</v>
      </c>
      <c r="G470" s="116"/>
      <c r="H470" s="130">
        <v>62.56</v>
      </c>
      <c r="I470" s="130">
        <v>67.5</v>
      </c>
      <c r="J470" s="130"/>
      <c r="K470" s="131"/>
    </row>
    <row r="471" spans="1:11" ht="31.5">
      <c r="A471" s="78">
        <v>92</v>
      </c>
      <c r="B471" s="78" t="s">
        <v>297</v>
      </c>
      <c r="C471" s="79" t="s">
        <v>1464</v>
      </c>
      <c r="D471" s="78" t="s">
        <v>79</v>
      </c>
      <c r="E471" s="78"/>
      <c r="F471" s="73">
        <f t="shared" si="2"/>
        <v>17.88</v>
      </c>
      <c r="G471" s="116"/>
      <c r="H471" s="130">
        <v>17</v>
      </c>
      <c r="I471" s="130">
        <v>18.75</v>
      </c>
      <c r="J471" s="130"/>
      <c r="K471" s="131"/>
    </row>
    <row r="472" spans="1:11" ht="31.5">
      <c r="A472" s="78">
        <v>93</v>
      </c>
      <c r="B472" s="78" t="s">
        <v>297</v>
      </c>
      <c r="C472" s="79" t="s">
        <v>1465</v>
      </c>
      <c r="D472" s="78" t="s">
        <v>79</v>
      </c>
      <c r="E472" s="78"/>
      <c r="F472" s="73">
        <f t="shared" si="2"/>
        <v>20.13</v>
      </c>
      <c r="G472" s="116"/>
      <c r="H472" s="130">
        <v>19</v>
      </c>
      <c r="I472" s="130">
        <v>21.25</v>
      </c>
      <c r="J472" s="130"/>
      <c r="K472" s="131"/>
    </row>
    <row r="473" spans="1:11" ht="31.5">
      <c r="A473" s="78">
        <v>94</v>
      </c>
      <c r="B473" s="78" t="s">
        <v>297</v>
      </c>
      <c r="C473" s="79" t="s">
        <v>1466</v>
      </c>
      <c r="D473" s="78" t="s">
        <v>79</v>
      </c>
      <c r="E473" s="78"/>
      <c r="F473" s="73">
        <f t="shared" si="2"/>
        <v>20.13</v>
      </c>
      <c r="G473" s="116"/>
      <c r="H473" s="130">
        <v>19</v>
      </c>
      <c r="I473" s="130">
        <v>21.25</v>
      </c>
      <c r="J473" s="130"/>
      <c r="K473" s="131"/>
    </row>
    <row r="474" spans="1:11" ht="31.5">
      <c r="A474" s="78">
        <v>95</v>
      </c>
      <c r="B474" s="78" t="s">
        <v>297</v>
      </c>
      <c r="C474" s="79" t="s">
        <v>1467</v>
      </c>
      <c r="D474" s="78" t="s">
        <v>79</v>
      </c>
      <c r="E474" s="78"/>
      <c r="F474" s="73">
        <f t="shared" si="2"/>
        <v>15.5</v>
      </c>
      <c r="G474" s="116"/>
      <c r="H474" s="130">
        <v>15</v>
      </c>
      <c r="I474" s="130">
        <v>16</v>
      </c>
      <c r="J474" s="130"/>
      <c r="K474" s="131"/>
    </row>
    <row r="475" spans="1:11" ht="17.25">
      <c r="A475" s="78">
        <v>96</v>
      </c>
      <c r="B475" s="78" t="s">
        <v>297</v>
      </c>
      <c r="C475" s="79" t="s">
        <v>1468</v>
      </c>
      <c r="D475" s="78" t="s">
        <v>79</v>
      </c>
      <c r="E475" s="78"/>
      <c r="F475" s="73">
        <f t="shared" si="2"/>
        <v>51.25</v>
      </c>
      <c r="G475" s="116"/>
      <c r="H475" s="130">
        <v>50</v>
      </c>
      <c r="I475" s="130">
        <v>52.5</v>
      </c>
      <c r="J475" s="130"/>
      <c r="K475" s="131"/>
    </row>
    <row r="476" spans="1:11">
      <c r="A476" s="78">
        <v>97</v>
      </c>
      <c r="B476" s="78" t="s">
        <v>297</v>
      </c>
      <c r="C476" s="79" t="s">
        <v>827</v>
      </c>
      <c r="D476" s="78" t="s">
        <v>79</v>
      </c>
      <c r="E476" s="78"/>
      <c r="F476" s="73">
        <f t="shared" si="2"/>
        <v>10.45</v>
      </c>
      <c r="G476" s="116"/>
      <c r="H476" s="130"/>
      <c r="I476" s="130">
        <v>10.45</v>
      </c>
      <c r="J476" s="130"/>
      <c r="K476" s="131"/>
    </row>
    <row r="477" spans="1:11" ht="47.25">
      <c r="A477" s="78">
        <v>98</v>
      </c>
      <c r="B477" s="78" t="s">
        <v>828</v>
      </c>
      <c r="C477" s="79" t="s">
        <v>829</v>
      </c>
      <c r="D477" s="78" t="s">
        <v>530</v>
      </c>
      <c r="E477" s="78" t="s">
        <v>203</v>
      </c>
      <c r="F477" s="73">
        <v>779.07</v>
      </c>
    </row>
    <row r="478" spans="1:11" ht="31.5">
      <c r="A478" s="47" t="s">
        <v>218</v>
      </c>
      <c r="B478" s="47" t="s">
        <v>830</v>
      </c>
      <c r="C478" s="46" t="s">
        <v>831</v>
      </c>
      <c r="D478" s="47" t="s">
        <v>266</v>
      </c>
      <c r="E478" s="47" t="s">
        <v>832</v>
      </c>
      <c r="F478" s="428" t="s">
        <v>203</v>
      </c>
    </row>
    <row r="479" spans="1:11" ht="31.5">
      <c r="A479" s="47" t="s">
        <v>218</v>
      </c>
      <c r="B479" s="47" t="s">
        <v>833</v>
      </c>
      <c r="C479" s="46" t="s">
        <v>834</v>
      </c>
      <c r="D479" s="47" t="s">
        <v>202</v>
      </c>
      <c r="E479" s="47" t="s">
        <v>835</v>
      </c>
      <c r="F479" s="428" t="s">
        <v>203</v>
      </c>
    </row>
    <row r="480" spans="1:11" ht="31.5">
      <c r="A480" s="47" t="s">
        <v>218</v>
      </c>
      <c r="B480" s="47" t="s">
        <v>836</v>
      </c>
      <c r="C480" s="46" t="s">
        <v>837</v>
      </c>
      <c r="D480" s="47" t="s">
        <v>202</v>
      </c>
      <c r="E480" s="47" t="s">
        <v>838</v>
      </c>
      <c r="F480" s="428" t="s">
        <v>203</v>
      </c>
    </row>
    <row r="481" spans="1:6">
      <c r="A481" s="47" t="s">
        <v>218</v>
      </c>
      <c r="B481" s="47" t="s">
        <v>839</v>
      </c>
      <c r="C481" s="46" t="s">
        <v>840</v>
      </c>
      <c r="D481" s="47" t="s">
        <v>221</v>
      </c>
      <c r="E481" s="47" t="s">
        <v>841</v>
      </c>
      <c r="F481" s="428" t="s">
        <v>203</v>
      </c>
    </row>
    <row r="482" spans="1:6" ht="47.25">
      <c r="A482" s="47" t="s">
        <v>218</v>
      </c>
      <c r="B482" s="47" t="s">
        <v>842</v>
      </c>
      <c r="C482" s="46" t="s">
        <v>843</v>
      </c>
      <c r="D482" s="47" t="s">
        <v>530</v>
      </c>
      <c r="E482" s="47" t="s">
        <v>844</v>
      </c>
      <c r="F482" s="428" t="s">
        <v>203</v>
      </c>
    </row>
    <row r="483" spans="1:6">
      <c r="A483" s="47" t="s">
        <v>204</v>
      </c>
      <c r="B483" s="47" t="s">
        <v>845</v>
      </c>
      <c r="C483" s="46" t="s">
        <v>846</v>
      </c>
      <c r="D483" s="47" t="s">
        <v>207</v>
      </c>
      <c r="E483" s="47" t="s">
        <v>847</v>
      </c>
      <c r="F483" s="428" t="s">
        <v>203</v>
      </c>
    </row>
    <row r="484" spans="1:6">
      <c r="A484" s="47" t="s">
        <v>204</v>
      </c>
      <c r="B484" s="47" t="s">
        <v>250</v>
      </c>
      <c r="C484" s="46" t="s">
        <v>251</v>
      </c>
      <c r="D484" s="47" t="s">
        <v>207</v>
      </c>
      <c r="E484" s="47" t="s">
        <v>848</v>
      </c>
      <c r="F484" s="47" t="s">
        <v>203</v>
      </c>
    </row>
    <row r="485" spans="1:6">
      <c r="A485" s="47" t="s">
        <v>204</v>
      </c>
      <c r="B485" s="47" t="s">
        <v>209</v>
      </c>
      <c r="C485" s="46" t="s">
        <v>210</v>
      </c>
      <c r="D485" s="47" t="s">
        <v>207</v>
      </c>
      <c r="E485" s="47" t="s">
        <v>849</v>
      </c>
      <c r="F485" s="47" t="s">
        <v>203</v>
      </c>
    </row>
    <row r="486" spans="1:6" ht="31.5">
      <c r="A486" s="78">
        <v>99</v>
      </c>
      <c r="B486" s="78">
        <v>95241</v>
      </c>
      <c r="C486" s="79" t="s">
        <v>850</v>
      </c>
      <c r="D486" s="78" t="s">
        <v>214</v>
      </c>
      <c r="E486" s="78"/>
      <c r="F486" s="73">
        <v>46.65</v>
      </c>
    </row>
    <row r="487" spans="1:6">
      <c r="A487" s="47" t="s">
        <v>204</v>
      </c>
      <c r="B487" s="47" t="s">
        <v>250</v>
      </c>
      <c r="C487" s="46" t="s">
        <v>251</v>
      </c>
      <c r="D487" s="47" t="s">
        <v>207</v>
      </c>
      <c r="E487" s="47" t="s">
        <v>851</v>
      </c>
      <c r="F487" s="47"/>
    </row>
    <row r="488" spans="1:6">
      <c r="A488" s="47" t="s">
        <v>204</v>
      </c>
      <c r="B488" s="47" t="s">
        <v>209</v>
      </c>
      <c r="C488" s="46" t="s">
        <v>210</v>
      </c>
      <c r="D488" s="47" t="s">
        <v>207</v>
      </c>
      <c r="E488" s="47" t="s">
        <v>852</v>
      </c>
      <c r="F488" s="47"/>
    </row>
    <row r="489" spans="1:6" ht="47.25">
      <c r="A489" s="47" t="s">
        <v>204</v>
      </c>
      <c r="B489" s="47" t="s">
        <v>853</v>
      </c>
      <c r="C489" s="46" t="s">
        <v>854</v>
      </c>
      <c r="D489" s="47" t="s">
        <v>530</v>
      </c>
      <c r="E489" s="47" t="s">
        <v>855</v>
      </c>
      <c r="F489" s="47"/>
    </row>
    <row r="490" spans="1:6" ht="31.5">
      <c r="A490" s="78">
        <v>100</v>
      </c>
      <c r="B490" s="78">
        <v>96624</v>
      </c>
      <c r="C490" s="79" t="s">
        <v>856</v>
      </c>
      <c r="D490" s="78" t="s">
        <v>530</v>
      </c>
      <c r="E490" s="78"/>
      <c r="F490" s="73">
        <v>290.31</v>
      </c>
    </row>
    <row r="491" spans="1:6" ht="31.5">
      <c r="A491" s="45" t="s">
        <v>218</v>
      </c>
      <c r="B491" s="45" t="s">
        <v>857</v>
      </c>
      <c r="C491" s="46" t="s">
        <v>858</v>
      </c>
      <c r="D491" s="45" t="s">
        <v>530</v>
      </c>
      <c r="E491" s="45" t="s">
        <v>859</v>
      </c>
      <c r="F491" s="45"/>
    </row>
    <row r="492" spans="1:6">
      <c r="A492" s="45" t="s">
        <v>204</v>
      </c>
      <c r="B492" s="45" t="s">
        <v>250</v>
      </c>
      <c r="C492" s="46" t="s">
        <v>251</v>
      </c>
      <c r="D492" s="45" t="s">
        <v>207</v>
      </c>
      <c r="E492" s="45" t="s">
        <v>860</v>
      </c>
      <c r="F492" s="421"/>
    </row>
    <row r="493" spans="1:6">
      <c r="A493" s="45" t="s">
        <v>204</v>
      </c>
      <c r="B493" s="45" t="s">
        <v>209</v>
      </c>
      <c r="C493" s="46" t="s">
        <v>210</v>
      </c>
      <c r="D493" s="45" t="s">
        <v>207</v>
      </c>
      <c r="E493" s="45" t="s">
        <v>861</v>
      </c>
      <c r="F493" s="421"/>
    </row>
    <row r="494" spans="1:6" ht="31.5">
      <c r="A494" s="45" t="s">
        <v>204</v>
      </c>
      <c r="B494" s="45" t="s">
        <v>862</v>
      </c>
      <c r="C494" s="46" t="s">
        <v>863</v>
      </c>
      <c r="D494" s="45" t="s">
        <v>256</v>
      </c>
      <c r="E494" s="45" t="s">
        <v>864</v>
      </c>
      <c r="F494" s="421"/>
    </row>
    <row r="495" spans="1:6" ht="31.5">
      <c r="A495" s="45" t="s">
        <v>204</v>
      </c>
      <c r="B495" s="45" t="s">
        <v>865</v>
      </c>
      <c r="C495" s="46" t="s">
        <v>866</v>
      </c>
      <c r="D495" s="45" t="s">
        <v>260</v>
      </c>
      <c r="E495" s="45" t="s">
        <v>770</v>
      </c>
      <c r="F495" s="421"/>
    </row>
    <row r="496" spans="1:6" ht="31.5">
      <c r="A496" s="78">
        <v>101</v>
      </c>
      <c r="B496" s="78">
        <v>103913</v>
      </c>
      <c r="C496" s="79" t="s">
        <v>867</v>
      </c>
      <c r="D496" s="78" t="s">
        <v>214</v>
      </c>
      <c r="E496" s="78"/>
      <c r="F496" s="73">
        <v>124.75</v>
      </c>
    </row>
    <row r="497" spans="1:6" ht="31.5">
      <c r="A497" s="45" t="s">
        <v>218</v>
      </c>
      <c r="B497" s="45" t="s">
        <v>836</v>
      </c>
      <c r="C497" s="46" t="s">
        <v>837</v>
      </c>
      <c r="D497" s="45" t="s">
        <v>202</v>
      </c>
      <c r="E497" s="45" t="s">
        <v>868</v>
      </c>
      <c r="F497" s="421"/>
    </row>
    <row r="498" spans="1:6">
      <c r="A498" s="45" t="s">
        <v>218</v>
      </c>
      <c r="B498" s="45" t="s">
        <v>869</v>
      </c>
      <c r="C498" s="46" t="s">
        <v>870</v>
      </c>
      <c r="D498" s="45" t="s">
        <v>221</v>
      </c>
      <c r="E498" s="45" t="s">
        <v>871</v>
      </c>
      <c r="F498" s="421"/>
    </row>
    <row r="499" spans="1:6" ht="47.25">
      <c r="A499" s="45" t="s">
        <v>218</v>
      </c>
      <c r="B499" s="45" t="s">
        <v>842</v>
      </c>
      <c r="C499" s="46" t="s">
        <v>843</v>
      </c>
      <c r="D499" s="45" t="s">
        <v>530</v>
      </c>
      <c r="E499" s="45" t="s">
        <v>872</v>
      </c>
      <c r="F499" s="421"/>
    </row>
    <row r="500" spans="1:6" ht="31.5">
      <c r="A500" s="45" t="s">
        <v>218</v>
      </c>
      <c r="B500" s="45" t="s">
        <v>873</v>
      </c>
      <c r="C500" s="46" t="s">
        <v>874</v>
      </c>
      <c r="D500" s="45" t="s">
        <v>221</v>
      </c>
      <c r="E500" s="45" t="s">
        <v>439</v>
      </c>
      <c r="F500" s="421"/>
    </row>
    <row r="501" spans="1:6" ht="31.5">
      <c r="A501" s="45" t="s">
        <v>218</v>
      </c>
      <c r="B501" s="45" t="s">
        <v>875</v>
      </c>
      <c r="C501" s="46" t="s">
        <v>876</v>
      </c>
      <c r="D501" s="45" t="s">
        <v>202</v>
      </c>
      <c r="E501" s="45" t="s">
        <v>877</v>
      </c>
      <c r="F501" s="421"/>
    </row>
    <row r="502" spans="1:6">
      <c r="A502" s="45" t="s">
        <v>204</v>
      </c>
      <c r="B502" s="45" t="s">
        <v>845</v>
      </c>
      <c r="C502" s="46" t="s">
        <v>846</v>
      </c>
      <c r="D502" s="45" t="s">
        <v>207</v>
      </c>
      <c r="E502" s="45" t="s">
        <v>878</v>
      </c>
      <c r="F502" s="421"/>
    </row>
    <row r="503" spans="1:6">
      <c r="A503" s="45" t="s">
        <v>204</v>
      </c>
      <c r="B503" s="45" t="s">
        <v>250</v>
      </c>
      <c r="C503" s="46" t="s">
        <v>251</v>
      </c>
      <c r="D503" s="45" t="s">
        <v>207</v>
      </c>
      <c r="E503" s="45" t="s">
        <v>879</v>
      </c>
      <c r="F503" s="421"/>
    </row>
    <row r="504" spans="1:6">
      <c r="A504" s="45" t="s">
        <v>204</v>
      </c>
      <c r="B504" s="45" t="s">
        <v>209</v>
      </c>
      <c r="C504" s="46" t="s">
        <v>210</v>
      </c>
      <c r="D504" s="45" t="s">
        <v>207</v>
      </c>
      <c r="E504" s="45" t="s">
        <v>880</v>
      </c>
      <c r="F504" s="421"/>
    </row>
    <row r="505" spans="1:6" ht="31.5">
      <c r="A505" s="45" t="s">
        <v>204</v>
      </c>
      <c r="B505" s="45" t="s">
        <v>881</v>
      </c>
      <c r="C505" s="46" t="s">
        <v>882</v>
      </c>
      <c r="D505" s="45" t="s">
        <v>256</v>
      </c>
      <c r="E505" s="45" t="s">
        <v>883</v>
      </c>
      <c r="F505" s="421"/>
    </row>
    <row r="506" spans="1:6" ht="31.5">
      <c r="A506" s="45" t="s">
        <v>204</v>
      </c>
      <c r="B506" s="45" t="s">
        <v>884</v>
      </c>
      <c r="C506" s="46" t="s">
        <v>885</v>
      </c>
      <c r="D506" s="45" t="s">
        <v>221</v>
      </c>
      <c r="E506" s="45" t="s">
        <v>886</v>
      </c>
      <c r="F506" s="421"/>
    </row>
    <row r="507" spans="1:6" ht="31.5">
      <c r="A507" s="45" t="s">
        <v>204</v>
      </c>
      <c r="B507" s="45" t="s">
        <v>887</v>
      </c>
      <c r="C507" s="46" t="s">
        <v>888</v>
      </c>
      <c r="D507" s="45" t="s">
        <v>214</v>
      </c>
      <c r="E507" s="45" t="s">
        <v>301</v>
      </c>
      <c r="F507" s="421"/>
    </row>
    <row r="508" spans="1:6" ht="31.5">
      <c r="A508" s="45" t="s">
        <v>204</v>
      </c>
      <c r="B508" s="45" t="s">
        <v>889</v>
      </c>
      <c r="C508" s="46" t="s">
        <v>890</v>
      </c>
      <c r="D508" s="45" t="s">
        <v>221</v>
      </c>
      <c r="E508" s="45" t="s">
        <v>891</v>
      </c>
      <c r="F508" s="421"/>
    </row>
    <row r="509" spans="1:6" ht="31.5">
      <c r="A509" s="45" t="s">
        <v>204</v>
      </c>
      <c r="B509" s="45" t="s">
        <v>892</v>
      </c>
      <c r="C509" s="46" t="s">
        <v>893</v>
      </c>
      <c r="D509" s="45" t="s">
        <v>221</v>
      </c>
      <c r="E509" s="45" t="s">
        <v>894</v>
      </c>
      <c r="F509" s="421"/>
    </row>
    <row r="510" spans="1:6" ht="47.25">
      <c r="A510" s="78">
        <v>102</v>
      </c>
      <c r="B510" s="78">
        <v>97083</v>
      </c>
      <c r="C510" s="79" t="s">
        <v>895</v>
      </c>
      <c r="D510" s="78" t="s">
        <v>214</v>
      </c>
      <c r="E510" s="78"/>
      <c r="F510" s="73">
        <v>3.9</v>
      </c>
    </row>
    <row r="511" spans="1:6">
      <c r="A511" s="45" t="s">
        <v>204</v>
      </c>
      <c r="B511" s="45" t="s">
        <v>250</v>
      </c>
      <c r="C511" s="46" t="s">
        <v>251</v>
      </c>
      <c r="D511" s="45" t="s">
        <v>207</v>
      </c>
      <c r="E511" s="45" t="s">
        <v>700</v>
      </c>
      <c r="F511" s="421"/>
    </row>
    <row r="512" spans="1:6">
      <c r="A512" s="45" t="s">
        <v>204</v>
      </c>
      <c r="B512" s="45" t="s">
        <v>209</v>
      </c>
      <c r="C512" s="46" t="s">
        <v>210</v>
      </c>
      <c r="D512" s="45" t="s">
        <v>207</v>
      </c>
      <c r="E512" s="45" t="s">
        <v>432</v>
      </c>
      <c r="F512" s="421"/>
    </row>
    <row r="513" spans="1:11" ht="31.5">
      <c r="A513" s="45" t="s">
        <v>204</v>
      </c>
      <c r="B513" s="45" t="s">
        <v>896</v>
      </c>
      <c r="C513" s="46" t="s">
        <v>897</v>
      </c>
      <c r="D513" s="45" t="s">
        <v>256</v>
      </c>
      <c r="E513" s="45" t="s">
        <v>257</v>
      </c>
      <c r="F513" s="421"/>
    </row>
    <row r="514" spans="1:11" ht="31.5">
      <c r="A514" s="45" t="s">
        <v>204</v>
      </c>
      <c r="B514" s="45" t="s">
        <v>898</v>
      </c>
      <c r="C514" s="46" t="s">
        <v>899</v>
      </c>
      <c r="D514" s="45" t="s">
        <v>260</v>
      </c>
      <c r="E514" s="45" t="s">
        <v>900</v>
      </c>
      <c r="F514" s="421"/>
    </row>
    <row r="515" spans="1:11" ht="31.5">
      <c r="A515" s="78">
        <v>103</v>
      </c>
      <c r="B515" s="78">
        <v>101090</v>
      </c>
      <c r="C515" s="79" t="s">
        <v>901</v>
      </c>
      <c r="D515" s="78" t="s">
        <v>214</v>
      </c>
      <c r="E515" s="78"/>
      <c r="F515" s="73">
        <v>243.68</v>
      </c>
    </row>
    <row r="516" spans="1:11" ht="30.75" customHeight="1">
      <c r="A516" s="45" t="s">
        <v>218</v>
      </c>
      <c r="B516" s="45" t="s">
        <v>902</v>
      </c>
      <c r="C516" s="46" t="s">
        <v>903</v>
      </c>
      <c r="D516" s="45" t="s">
        <v>530</v>
      </c>
      <c r="E516" s="45" t="s">
        <v>560</v>
      </c>
      <c r="F516" s="421"/>
    </row>
    <row r="517" spans="1:11" ht="31.5">
      <c r="A517" s="45" t="s">
        <v>218</v>
      </c>
      <c r="B517" s="45" t="s">
        <v>904</v>
      </c>
      <c r="C517" s="46" t="s">
        <v>905</v>
      </c>
      <c r="D517" s="45" t="s">
        <v>530</v>
      </c>
      <c r="E517" s="45" t="s">
        <v>906</v>
      </c>
      <c r="F517" s="421"/>
    </row>
    <row r="518" spans="1:11">
      <c r="A518" s="45" t="s">
        <v>218</v>
      </c>
      <c r="B518" s="45" t="s">
        <v>317</v>
      </c>
      <c r="C518" s="46" t="s">
        <v>318</v>
      </c>
      <c r="D518" s="45" t="s">
        <v>221</v>
      </c>
      <c r="E518" s="45" t="s">
        <v>907</v>
      </c>
      <c r="F518" s="421"/>
    </row>
    <row r="519" spans="1:11">
      <c r="A519" s="45" t="s">
        <v>218</v>
      </c>
      <c r="B519" s="45" t="s">
        <v>908</v>
      </c>
      <c r="C519" s="46" t="s">
        <v>909</v>
      </c>
      <c r="D519" s="45" t="s">
        <v>214</v>
      </c>
      <c r="E519" s="45" t="s">
        <v>301</v>
      </c>
      <c r="F519" s="421"/>
    </row>
    <row r="520" spans="1:11">
      <c r="A520" s="45" t="s">
        <v>204</v>
      </c>
      <c r="B520" s="45" t="s">
        <v>910</v>
      </c>
      <c r="C520" s="46" t="s">
        <v>911</v>
      </c>
      <c r="D520" s="45" t="s">
        <v>207</v>
      </c>
      <c r="E520" s="45" t="s">
        <v>912</v>
      </c>
      <c r="F520" s="421"/>
    </row>
    <row r="521" spans="1:11">
      <c r="A521" s="45" t="s">
        <v>204</v>
      </c>
      <c r="B521" s="45" t="s">
        <v>209</v>
      </c>
      <c r="C521" s="46" t="s">
        <v>210</v>
      </c>
      <c r="D521" s="45" t="s">
        <v>207</v>
      </c>
      <c r="E521" s="45" t="s">
        <v>913</v>
      </c>
      <c r="F521" s="421"/>
    </row>
    <row r="522" spans="1:11">
      <c r="A522" s="78">
        <v>104</v>
      </c>
      <c r="B522" s="78" t="s">
        <v>297</v>
      </c>
      <c r="C522" s="79" t="s">
        <v>914</v>
      </c>
      <c r="D522" s="78" t="s">
        <v>214</v>
      </c>
      <c r="E522" s="78" t="s">
        <v>203</v>
      </c>
      <c r="F522" s="73">
        <f>(E523*F523)+(E524*F524)</f>
        <v>0.54759999999999998</v>
      </c>
    </row>
    <row r="523" spans="1:11">
      <c r="A523" s="45" t="s">
        <v>204</v>
      </c>
      <c r="B523" s="45" t="s">
        <v>209</v>
      </c>
      <c r="C523" s="46" t="s">
        <v>210</v>
      </c>
      <c r="D523" s="45" t="s">
        <v>207</v>
      </c>
      <c r="E523" s="477">
        <v>0.01</v>
      </c>
      <c r="F523" s="470">
        <f>F31</f>
        <v>25.11</v>
      </c>
    </row>
    <row r="524" spans="1:11">
      <c r="A524" s="45" t="s">
        <v>204</v>
      </c>
      <c r="B524" s="45" t="s">
        <v>667</v>
      </c>
      <c r="C524" s="46" t="s">
        <v>668</v>
      </c>
      <c r="D524" s="45" t="s">
        <v>207</v>
      </c>
      <c r="E524" s="477">
        <v>0.01</v>
      </c>
      <c r="F524" s="432">
        <v>29.65</v>
      </c>
    </row>
    <row r="525" spans="1:11">
      <c r="A525" s="539">
        <v>105</v>
      </c>
      <c r="B525" s="539" t="s">
        <v>297</v>
      </c>
      <c r="C525" s="540" t="s">
        <v>1396</v>
      </c>
      <c r="D525" s="539" t="s">
        <v>3</v>
      </c>
      <c r="E525" s="539"/>
      <c r="F525" s="73">
        <f>E526*F526</f>
        <v>380.95</v>
      </c>
    </row>
    <row r="526" spans="1:11">
      <c r="A526" s="45"/>
      <c r="B526" s="45"/>
      <c r="C526" s="46" t="s">
        <v>1395</v>
      </c>
      <c r="D526" s="45"/>
      <c r="E526" s="45">
        <v>1</v>
      </c>
      <c r="F526" s="432">
        <f>ROUND(AVERAGE(H526:K526),2)</f>
        <v>380.95</v>
      </c>
      <c r="H526" s="102">
        <v>370</v>
      </c>
      <c r="I526" s="102">
        <v>380</v>
      </c>
      <c r="J526" s="102">
        <v>380</v>
      </c>
      <c r="K526" s="102">
        <v>393.8</v>
      </c>
    </row>
    <row r="527" spans="1:11">
      <c r="A527" s="539">
        <v>106</v>
      </c>
      <c r="B527" s="539" t="s">
        <v>297</v>
      </c>
      <c r="C527" s="540" t="s">
        <v>1386</v>
      </c>
      <c r="D527" s="539" t="s">
        <v>1393</v>
      </c>
      <c r="E527" s="539"/>
      <c r="F527" s="73">
        <f>E528*F528</f>
        <v>290</v>
      </c>
      <c r="H527" s="102"/>
      <c r="I527" s="102"/>
      <c r="J527" s="102"/>
      <c r="K527" s="102"/>
    </row>
    <row r="528" spans="1:11">
      <c r="A528" s="45"/>
      <c r="B528" s="45"/>
      <c r="C528" s="46" t="s">
        <v>1394</v>
      </c>
      <c r="D528" s="45" t="s">
        <v>1393</v>
      </c>
      <c r="E528" s="45">
        <v>1</v>
      </c>
      <c r="F528" s="432">
        <f>ROUND(AVERAGE(H528:J528),2)</f>
        <v>290</v>
      </c>
      <c r="H528" s="102">
        <f>375</f>
        <v>375</v>
      </c>
      <c r="I528" s="102">
        <v>230</v>
      </c>
      <c r="J528" s="102">
        <v>265</v>
      </c>
      <c r="K528" s="102"/>
    </row>
    <row r="529" spans="1:6">
      <c r="A529" s="539">
        <v>107</v>
      </c>
      <c r="B529" s="539">
        <v>90779</v>
      </c>
      <c r="C529" s="540" t="s">
        <v>1325</v>
      </c>
      <c r="D529" s="539" t="s">
        <v>207</v>
      </c>
      <c r="E529" s="539"/>
      <c r="F529" s="73">
        <v>228.81</v>
      </c>
    </row>
    <row r="530" spans="1:6">
      <c r="A530" s="539">
        <v>108</v>
      </c>
      <c r="B530" s="539" t="s">
        <v>1322</v>
      </c>
      <c r="C530" s="540" t="s">
        <v>1323</v>
      </c>
      <c r="D530" s="539" t="s">
        <v>207</v>
      </c>
      <c r="E530" s="539"/>
      <c r="F530" s="73">
        <v>151.07</v>
      </c>
    </row>
    <row r="531" spans="1:6" ht="31.5">
      <c r="A531" s="539">
        <v>109</v>
      </c>
      <c r="B531" s="539" t="s">
        <v>915</v>
      </c>
      <c r="C531" s="540" t="s">
        <v>916</v>
      </c>
      <c r="D531" s="539" t="s">
        <v>207</v>
      </c>
      <c r="E531" s="539"/>
      <c r="F531" s="73">
        <v>40.200000000000003</v>
      </c>
    </row>
    <row r="532" spans="1:6">
      <c r="A532" s="539">
        <v>110</v>
      </c>
      <c r="B532" s="539" t="s">
        <v>1321</v>
      </c>
      <c r="C532" s="540" t="s">
        <v>1320</v>
      </c>
      <c r="D532" s="539" t="s">
        <v>207</v>
      </c>
      <c r="E532" s="539"/>
      <c r="F532" s="73">
        <v>32.08</v>
      </c>
    </row>
    <row r="533" spans="1:6" ht="47.25">
      <c r="A533" s="539">
        <v>111</v>
      </c>
      <c r="B533" s="539" t="s">
        <v>752</v>
      </c>
      <c r="C533" s="540" t="s">
        <v>917</v>
      </c>
      <c r="D533" s="539" t="s">
        <v>207</v>
      </c>
      <c r="E533" s="539"/>
      <c r="F533" s="73">
        <v>33.25</v>
      </c>
    </row>
    <row r="534" spans="1:6">
      <c r="A534" s="539">
        <v>112</v>
      </c>
      <c r="B534" s="539" t="s">
        <v>1324</v>
      </c>
      <c r="C534" s="540" t="s">
        <v>918</v>
      </c>
      <c r="D534" s="539" t="s">
        <v>207</v>
      </c>
      <c r="E534" s="539"/>
      <c r="F534" s="73">
        <v>27.63</v>
      </c>
    </row>
    <row r="535" spans="1:6" ht="31.5">
      <c r="A535" s="539">
        <v>113</v>
      </c>
      <c r="B535" s="539">
        <v>88273</v>
      </c>
      <c r="C535" s="540" t="s">
        <v>919</v>
      </c>
      <c r="D535" s="539" t="s">
        <v>207</v>
      </c>
      <c r="E535" s="539"/>
      <c r="F535" s="73">
        <v>30.51</v>
      </c>
    </row>
    <row r="536" spans="1:6">
      <c r="C536" s="81"/>
      <c r="D536" s="64"/>
    </row>
  </sheetData>
  <mergeCells count="2">
    <mergeCell ref="H1:J1"/>
    <mergeCell ref="A1:F1"/>
  </mergeCells>
  <phoneticPr fontId="15" type="noConversion"/>
  <conditionalFormatting sqref="A206:C206">
    <cfRule type="expression" dxfId="87" priority="63" stopIfTrue="1">
      <formula>AND($A206&lt;&gt;"COMPOSICAO",$A206&lt;&gt;"INSUMO",$A206&lt;&gt;"")</formula>
    </cfRule>
    <cfRule type="expression" dxfId="86" priority="64" stopIfTrue="1">
      <formula>AND(OR($A206="COMPOSICAO",$A206="INSUMO",$A206&lt;&gt;""),$A206&lt;&gt;"")</formula>
    </cfRule>
  </conditionalFormatting>
  <conditionalFormatting sqref="A208:C208">
    <cfRule type="expression" dxfId="85" priority="61" stopIfTrue="1">
      <formula>AND($A208&lt;&gt;"COMPOSICAO",$A208&lt;&gt;"INSUMO",$A208&lt;&gt;"")</formula>
    </cfRule>
    <cfRule type="expression" dxfId="84" priority="62" stopIfTrue="1">
      <formula>AND(OR($A208="COMPOSICAO",$A208="INSUMO",$A208&lt;&gt;""),$A208&lt;&gt;"")</formula>
    </cfRule>
  </conditionalFormatting>
  <conditionalFormatting sqref="A3:E14">
    <cfRule type="expression" dxfId="83" priority="73" stopIfTrue="1">
      <formula>AND($A3&lt;&gt;"COMPOSICAO",$A3&lt;&gt;"INSUMO",$A3&lt;&gt;"")</formula>
    </cfRule>
    <cfRule type="expression" dxfId="82" priority="74" stopIfTrue="1">
      <formula>AND(OR($A3="COMPOSICAO",$A3="INSUMO",$A3&lt;&gt;""),$A3&lt;&gt;"")</formula>
    </cfRule>
  </conditionalFormatting>
  <conditionalFormatting sqref="A435:E435 B442:F442 A443:F443">
    <cfRule type="expression" dxfId="81" priority="839" stopIfTrue="1">
      <formula>AND($A435&lt;&gt;"COMPOSIÇÃO",$A435&lt;&gt;"INSUMO",$A435&lt;&gt;"")</formula>
    </cfRule>
    <cfRule type="expression" dxfId="80" priority="840" stopIfTrue="1">
      <formula>AND(OR($A435="COMPOSIÇÃO",$A435="INSUMO",$A435&lt;&gt;""),$A435&lt;&gt;"")</formula>
    </cfRule>
  </conditionalFormatting>
  <conditionalFormatting sqref="A436:E440">
    <cfRule type="expression" dxfId="79" priority="87" stopIfTrue="1">
      <formula>AND($A436&lt;&gt;"COMPOSICAO",$A436&lt;&gt;"INSUMO",$A436&lt;&gt;"")</formula>
    </cfRule>
    <cfRule type="expression" dxfId="78" priority="88" stopIfTrue="1">
      <formula>AND(OR($A436="COMPOSICAO",$A436="INSUMO",$A436&lt;&gt;""),$A436&lt;&gt;"")</formula>
    </cfRule>
  </conditionalFormatting>
  <conditionalFormatting sqref="A15:F33 A210:E210 A211:F214 A215:E215 A216:F220 A221:E221 A222:F227 A228:E228 A229:F232 A244:F251 A252:E252 A253:F255 A256:B275 C257:C275 A277:F280 A281:E281 A282:F285 A286:E286 A287:F291">
    <cfRule type="expression" dxfId="77" priority="918" stopIfTrue="1">
      <formula>AND(OR($A15="COMPOSICAO",$A15="INSUMO",$A15&lt;&gt;""),$A15&lt;&gt;"")</formula>
    </cfRule>
  </conditionalFormatting>
  <conditionalFormatting sqref="A15:F33 A210:E210 A211:F214 A215:E215 A216:F220 A221:E221 A222:F227 A228:E228 A229:F232 A244:F251 A252:E252 A253:F255 C257:C275 A277:F280 A281:E281 A282:F285 A286:E286 A287:F291 A256:B275">
    <cfRule type="expression" dxfId="76" priority="917" stopIfTrue="1">
      <formula>AND($A15&lt;&gt;"COMPOSICAO",$A15&lt;&gt;"INSUMO",$A15&lt;&gt;"")</formula>
    </cfRule>
  </conditionalFormatting>
  <conditionalFormatting sqref="A34:F205 A442">
    <cfRule type="expression" dxfId="75" priority="81" stopIfTrue="1">
      <formula>AND($A34&lt;&gt;"COMPOSICAO",$A34&lt;&gt;"INSUMO",$A34&lt;&gt;"")</formula>
    </cfRule>
    <cfRule type="expression" dxfId="74" priority="82" stopIfTrue="1">
      <formula>AND(OR($A34="COMPOSICAO",$A34="INSUMO",$A34&lt;&gt;""),$A34&lt;&gt;"")</formula>
    </cfRule>
  </conditionalFormatting>
  <conditionalFormatting sqref="A233:F243">
    <cfRule type="expression" dxfId="73" priority="409" stopIfTrue="1">
      <formula>AND($A233&lt;&gt;"COMPOSICAO",$A233&lt;&gt;"INSUMO",$A233&lt;&gt;"")</formula>
    </cfRule>
    <cfRule type="expression" dxfId="72" priority="410" stopIfTrue="1">
      <formula>AND(OR($A233="COMPOSICAO",$A233="INSUMO",$A233&lt;&gt;""),$A233&lt;&gt;"")</formula>
    </cfRule>
  </conditionalFormatting>
  <conditionalFormatting sqref="A276:F276">
    <cfRule type="expression" dxfId="71" priority="399" stopIfTrue="1">
      <formula>AND($A276&lt;&gt;"COMPOSICAO",$A276&lt;&gt;"INSUMO",$A276&lt;&gt;"")</formula>
    </cfRule>
    <cfRule type="expression" dxfId="70" priority="400" stopIfTrue="1">
      <formula>AND(OR($A276="COMPOSICAO",$A276="INSUMO",$A276&lt;&gt;""),$A276&lt;&gt;"")</formula>
    </cfRule>
  </conditionalFormatting>
  <conditionalFormatting sqref="A292:F316">
    <cfRule type="expression" dxfId="69" priority="47" stopIfTrue="1">
      <formula>AND($A292&lt;&gt;"COMPOSICAO",$A292&lt;&gt;"INSUMO",$A292&lt;&gt;"")</formula>
    </cfRule>
    <cfRule type="expression" dxfId="68" priority="48" stopIfTrue="1">
      <formula>AND(OR($A292="COMPOSICAO",$A292="INSUMO",$A292&lt;&gt;""),$A292&lt;&gt;"")</formula>
    </cfRule>
  </conditionalFormatting>
  <conditionalFormatting sqref="A321:F321">
    <cfRule type="expression" dxfId="67" priority="43" stopIfTrue="1">
      <formula>AND($A321&lt;&gt;"COMPOSICAO",$A321&lt;&gt;"INSUMO",$A321&lt;&gt;"")</formula>
    </cfRule>
    <cfRule type="expression" dxfId="66" priority="44" stopIfTrue="1">
      <formula>AND(OR($A321="COMPOSICAO",$A321="INSUMO",$A321&lt;&gt;""),$A321&lt;&gt;"")</formula>
    </cfRule>
  </conditionalFormatting>
  <conditionalFormatting sqref="A330:F330 A331:B333 D331:F333 A334:F334 A335:B337 D335:F337 A338:F434 A441:F441">
    <cfRule type="expression" dxfId="65" priority="757" stopIfTrue="1">
      <formula>AND($A330&lt;&gt;"COMPOSICAO",$A330&lt;&gt;"INSUMO",$A330&lt;&gt;"")</formula>
    </cfRule>
    <cfRule type="expression" dxfId="64" priority="758" stopIfTrue="1">
      <formula>AND(OR($A330="COMPOSICAO",$A330="INSUMO",$A330&lt;&gt;""),$A330&lt;&gt;"")</formula>
    </cfRule>
  </conditionalFormatting>
  <conditionalFormatting sqref="A444:F477">
    <cfRule type="expression" dxfId="63" priority="37" stopIfTrue="1">
      <formula>AND($A444&lt;&gt;"COMPOSICAO",$A444&lt;&gt;"INSUMO",$A444&lt;&gt;"")</formula>
    </cfRule>
    <cfRule type="expression" dxfId="62" priority="38" stopIfTrue="1">
      <formula>AND(OR($A444="COMPOSICAO",$A444="INSUMO",$A444&lt;&gt;""),$A444&lt;&gt;"")</formula>
    </cfRule>
  </conditionalFormatting>
  <conditionalFormatting sqref="A486:F486">
    <cfRule type="expression" dxfId="61" priority="33" stopIfTrue="1">
      <formula>AND($A486&lt;&gt;"COMPOSICAO",$A486&lt;&gt;"INSUMO",$A486&lt;&gt;"")</formula>
    </cfRule>
    <cfRule type="expression" dxfId="60" priority="34" stopIfTrue="1">
      <formula>AND(OR($A486="COMPOSICAO",$A486="INSUMO",$A486&lt;&gt;""),$A486&lt;&gt;"")</formula>
    </cfRule>
  </conditionalFormatting>
  <conditionalFormatting sqref="A490:F490">
    <cfRule type="expression" dxfId="59" priority="29" stopIfTrue="1">
      <formula>AND($A490&lt;&gt;"COMPOSICAO",$A490&lt;&gt;"INSUMO",$A490&lt;&gt;"")</formula>
    </cfRule>
    <cfRule type="expression" dxfId="58" priority="30" stopIfTrue="1">
      <formula>AND(OR($A490="COMPOSICAO",$A490="INSUMO",$A490&lt;&gt;""),$A490&lt;&gt;"")</formula>
    </cfRule>
  </conditionalFormatting>
  <conditionalFormatting sqref="A496:F496">
    <cfRule type="expression" dxfId="57" priority="13" stopIfTrue="1">
      <formula>AND($A496&lt;&gt;"COMPOSICAO",$A496&lt;&gt;"INSUMO",$A496&lt;&gt;"")</formula>
    </cfRule>
    <cfRule type="expression" dxfId="56" priority="14" stopIfTrue="1">
      <formula>AND(OR($A496="COMPOSICAO",$A496="INSUMO",$A496&lt;&gt;""),$A496&lt;&gt;"")</formula>
    </cfRule>
  </conditionalFormatting>
  <conditionalFormatting sqref="A510:F510">
    <cfRule type="expression" dxfId="55" priority="11" stopIfTrue="1">
      <formula>AND($A510&lt;&gt;"COMPOSICAO",$A510&lt;&gt;"INSUMO",$A510&lt;&gt;"")</formula>
    </cfRule>
    <cfRule type="expression" dxfId="54" priority="12" stopIfTrue="1">
      <formula>AND(OR($A510="COMPOSICAO",$A510="INSUMO",$A510&lt;&gt;""),$A510&lt;&gt;"")</formula>
    </cfRule>
  </conditionalFormatting>
  <conditionalFormatting sqref="A515:F515">
    <cfRule type="expression" dxfId="53" priority="9" stopIfTrue="1">
      <formula>AND($A515&lt;&gt;"COMPOSICAO",$A515&lt;&gt;"INSUMO",$A515&lt;&gt;"")</formula>
    </cfRule>
    <cfRule type="expression" dxfId="52" priority="10" stopIfTrue="1">
      <formula>AND(OR($A515="COMPOSICAO",$A515="INSUMO",$A515&lt;&gt;""),$A515&lt;&gt;"")</formula>
    </cfRule>
  </conditionalFormatting>
  <conditionalFormatting sqref="A522:F522">
    <cfRule type="expression" dxfId="51" priority="7" stopIfTrue="1">
      <formula>AND($A522&lt;&gt;"COMPOSICAO",$A522&lt;&gt;"INSUMO",$A522&lt;&gt;"")</formula>
    </cfRule>
    <cfRule type="expression" dxfId="50" priority="8" stopIfTrue="1">
      <formula>AND(OR($A522="COMPOSICAO",$A522="INSUMO",$A522&lt;&gt;""),$A522&lt;&gt;"")</formula>
    </cfRule>
  </conditionalFormatting>
  <conditionalFormatting sqref="A525:F525">
    <cfRule type="expression" dxfId="49" priority="5" stopIfTrue="1">
      <formula>AND($A525&lt;&gt;"COMPOSICAO",$A525&lt;&gt;"INSUMO",$A525&lt;&gt;"")</formula>
    </cfRule>
    <cfRule type="expression" dxfId="48" priority="6" stopIfTrue="1">
      <formula>AND(OR($A525="COMPOSICAO",$A525="INSUMO",$A525&lt;&gt;""),$A525&lt;&gt;"")</formula>
    </cfRule>
  </conditionalFormatting>
  <conditionalFormatting sqref="A527:F527">
    <cfRule type="expression" dxfId="47" priority="3" stopIfTrue="1">
      <formula>AND($A527&lt;&gt;"COMPOSICAO",$A527&lt;&gt;"INSUMO",$A527&lt;&gt;"")</formula>
    </cfRule>
    <cfRule type="expression" dxfId="46" priority="4" stopIfTrue="1">
      <formula>AND(OR($A527="COMPOSICAO",$A527="INSUMO",$A527&lt;&gt;""),$A527&lt;&gt;"")</formula>
    </cfRule>
  </conditionalFormatting>
  <conditionalFormatting sqref="A529:F535">
    <cfRule type="expression" dxfId="45" priority="1" stopIfTrue="1">
      <formula>AND($A529&lt;&gt;"COMPOSICAO",$A529&lt;&gt;"INSUMO",$A529&lt;&gt;"")</formula>
    </cfRule>
    <cfRule type="expression" dxfId="44" priority="2" stopIfTrue="1">
      <formula>AND(OR($A529="COMPOSICAO",$A529="INSUMO",$A529&lt;&gt;""),$A529&lt;&gt;"")</formula>
    </cfRule>
  </conditionalFormatting>
  <conditionalFormatting sqref="B318:F318 A319:F320">
    <cfRule type="expression" dxfId="43" priority="97" stopIfTrue="1">
      <formula>AND($A318&lt;&gt;"COMPOSIÇÃO",$A318&lt;&gt;"INSUMO",$A318&lt;&gt;"")</formula>
    </cfRule>
    <cfRule type="expression" dxfId="42" priority="98" stopIfTrue="1">
      <formula>AND(OR($A318="COMPOSIÇÃO",$A318="INSUMO",$A318&lt;&gt;""),$A318&lt;&gt;"")</formula>
    </cfRule>
  </conditionalFormatting>
  <conditionalFormatting sqref="C15:C33 C207 C209:C232 C244:C291 C323:C326 C329">
    <cfRule type="expression" dxfId="41" priority="916" stopIfTrue="1">
      <formula>AND(OR(#REF!="COMPOSICAO",#REF!="INSUMO",#REF!&lt;&gt;""),#REF!&lt;&gt;"")</formula>
    </cfRule>
  </conditionalFormatting>
  <conditionalFormatting sqref="C244:C291 C15:C33 C207 C209:C232 C323:C326 C329">
    <cfRule type="expression" dxfId="40" priority="915" stopIfTrue="1">
      <formula>AND(#REF!&lt;&gt;"COMPOSICAO",#REF!&lt;&gt;"INSUMO",#REF!&lt;&gt;"")</formula>
    </cfRule>
  </conditionalFormatting>
  <conditionalFormatting sqref="C536">
    <cfRule type="expression" dxfId="39" priority="489" stopIfTrue="1">
      <formula>AND(#REF!&lt;&gt;"COMPOSICAO",#REF!&lt;&gt;"INSUMO",#REF!&lt;&gt;"")</formula>
    </cfRule>
    <cfRule type="expression" dxfId="38" priority="490" stopIfTrue="1">
      <formula>AND(OR(#REF!="COMPOSICAO",#REF!="INSUMO",#REF!&lt;&gt;""),#REF!&lt;&gt;"")</formula>
    </cfRule>
  </conditionalFormatting>
  <conditionalFormatting sqref="C256:F256">
    <cfRule type="expression" dxfId="37" priority="407" stopIfTrue="1">
      <formula>AND($A256&lt;&gt;"COMPOSICAO",$A256&lt;&gt;"INSUMO",$A256&lt;&gt;"")</formula>
    </cfRule>
    <cfRule type="expression" dxfId="36" priority="408" stopIfTrue="1">
      <formula>AND(OR($A256="COMPOSICAO",$A256="INSUMO",$A256&lt;&gt;""),$A256&lt;&gt;"")</formula>
    </cfRule>
  </conditionalFormatting>
  <conditionalFormatting sqref="D206:D209">
    <cfRule type="expression" dxfId="35" priority="421" stopIfTrue="1">
      <formula>AND($A206&lt;&gt;"COMPOSICAO",$A206&lt;&gt;"INSUMO",$A206&lt;&gt;"")</formula>
    </cfRule>
    <cfRule type="expression" dxfId="34" priority="422" stopIfTrue="1">
      <formula>AND(OR($A206="COMPOSICAO",$A206="INSUMO",$A206&lt;&gt;""),$A206&lt;&gt;"")</formula>
    </cfRule>
  </conditionalFormatting>
  <conditionalFormatting sqref="D257:F275">
    <cfRule type="expression" dxfId="33" priority="401" stopIfTrue="1">
      <formula>AND($A257&lt;&gt;"COMPOSICAO",$A257&lt;&gt;"INSUMO",$A257&lt;&gt;"")</formula>
    </cfRule>
    <cfRule type="expression" dxfId="32" priority="402" stopIfTrue="1">
      <formula>AND(OR($A257="COMPOSICAO",$A257="INSUMO",$A257&lt;&gt;""),$A257&lt;&gt;"")</formula>
    </cfRule>
  </conditionalFormatting>
  <conditionalFormatting sqref="E206:F206">
    <cfRule type="expression" dxfId="31" priority="55" stopIfTrue="1">
      <formula>AND($A206&lt;&gt;"COMPOSICAO",$A206&lt;&gt;"INSUMO",$A206&lt;&gt;"")</formula>
    </cfRule>
    <cfRule type="expression" dxfId="30" priority="56" stopIfTrue="1">
      <formula>AND(OR($A206="COMPOSICAO",$A206="INSUMO",$A206&lt;&gt;""),$A206&lt;&gt;"")</formula>
    </cfRule>
  </conditionalFormatting>
  <conditionalFormatting sqref="E208:F208">
    <cfRule type="expression" dxfId="29" priority="53" stopIfTrue="1">
      <formula>AND($A208&lt;&gt;"COMPOSICAO",$A208&lt;&gt;"INSUMO",$A208&lt;&gt;"")</formula>
    </cfRule>
    <cfRule type="expression" dxfId="28" priority="54" stopIfTrue="1">
      <formula>AND(OR($A208="COMPOSICAO",$A208="INSUMO",$A208&lt;&gt;""),$A208&lt;&gt;"")</formula>
    </cfRule>
  </conditionalFormatting>
  <conditionalFormatting sqref="E317:F317 E323:E327">
    <cfRule type="expression" dxfId="27" priority="759" stopIfTrue="1">
      <formula>AND($A317&lt;&gt;"COMPOSICAO",$A317&lt;&gt;"INSUMO",$A317&lt;&gt;"")</formula>
    </cfRule>
    <cfRule type="expression" dxfId="26" priority="760" stopIfTrue="1">
      <formula>AND(OR($A317="COMPOSICAO",$A317="INSUMO",$A317&lt;&gt;""),$A317&lt;&gt;"")</formula>
    </cfRule>
  </conditionalFormatting>
  <conditionalFormatting sqref="F3:F4">
    <cfRule type="expression" dxfId="25" priority="481" stopIfTrue="1">
      <formula>AND($A3&lt;&gt;"COMPOSICAO",$A3&lt;&gt;"INSUMO",$A3&lt;&gt;"")</formula>
    </cfRule>
    <cfRule type="expression" dxfId="24" priority="482" stopIfTrue="1">
      <formula>AND(OR($A3="COMPOSICAO",$A3="INSUMO",$A3&lt;&gt;""),$A3&lt;&gt;"")</formula>
    </cfRule>
  </conditionalFormatting>
  <conditionalFormatting sqref="F6:F7">
    <cfRule type="expression" dxfId="23" priority="479" stopIfTrue="1">
      <formula>AND($A6&lt;&gt;"COMPOSICAO",$A6&lt;&gt;"INSUMO",$A6&lt;&gt;"")</formula>
    </cfRule>
    <cfRule type="expression" dxfId="22" priority="480" stopIfTrue="1">
      <formula>AND(OR($A6="COMPOSICAO",$A6="INSUMO",$A6&lt;&gt;""),$A6&lt;&gt;"")</formula>
    </cfRule>
  </conditionalFormatting>
  <conditionalFormatting sqref="F9:F12">
    <cfRule type="expression" dxfId="21" priority="477" stopIfTrue="1">
      <formula>AND($A9&lt;&gt;"COMPOSICAO",$A9&lt;&gt;"INSUMO",$A9&lt;&gt;"")</formula>
    </cfRule>
    <cfRule type="expression" dxfId="20" priority="478" stopIfTrue="1">
      <formula>AND(OR($A9="COMPOSICAO",$A9="INSUMO",$A9&lt;&gt;""),$A9&lt;&gt;"")</formula>
    </cfRule>
  </conditionalFormatting>
  <conditionalFormatting sqref="F210">
    <cfRule type="expression" dxfId="19" priority="423" stopIfTrue="1">
      <formula>AND($A210&lt;&gt;"COMPOSICAO",$A210&lt;&gt;"INSUMO",$A210&lt;&gt;"")</formula>
    </cfRule>
    <cfRule type="expression" dxfId="18" priority="424" stopIfTrue="1">
      <formula>AND(OR($A210="COMPOSICAO",$A210="INSUMO",$A210&lt;&gt;""),$A210&lt;&gt;"")</formula>
    </cfRule>
  </conditionalFormatting>
  <conditionalFormatting sqref="F215">
    <cfRule type="expression" dxfId="17" priority="419" stopIfTrue="1">
      <formula>AND($A215&lt;&gt;"COMPOSICAO",$A215&lt;&gt;"INSUMO",$A215&lt;&gt;"")</formula>
    </cfRule>
    <cfRule type="expression" dxfId="16" priority="420" stopIfTrue="1">
      <formula>AND(OR($A215="COMPOSICAO",$A215="INSUMO",$A215&lt;&gt;""),$A215&lt;&gt;"")</formula>
    </cfRule>
  </conditionalFormatting>
  <conditionalFormatting sqref="F221">
    <cfRule type="expression" dxfId="15" priority="415" stopIfTrue="1">
      <formula>AND($A221&lt;&gt;"COMPOSICAO",$A221&lt;&gt;"INSUMO",$A221&lt;&gt;"")</formula>
    </cfRule>
    <cfRule type="expression" dxfId="14" priority="416" stopIfTrue="1">
      <formula>AND(OR($A221="COMPOSICAO",$A221="INSUMO",$A221&lt;&gt;""),$A221&lt;&gt;"")</formula>
    </cfRule>
  </conditionalFormatting>
  <conditionalFormatting sqref="F228">
    <cfRule type="expression" dxfId="13" priority="417" stopIfTrue="1">
      <formula>AND($A228&lt;&gt;"COMPOSICAO",$A228&lt;&gt;"INSUMO",$A228&lt;&gt;"")</formula>
    </cfRule>
    <cfRule type="expression" dxfId="12" priority="418" stopIfTrue="1">
      <formula>AND(OR($A228="COMPOSICAO",$A228="INSUMO",$A228&lt;&gt;""),$A228&lt;&gt;"")</formula>
    </cfRule>
  </conditionalFormatting>
  <conditionalFormatting sqref="F252">
    <cfRule type="expression" dxfId="11" priority="403" stopIfTrue="1">
      <formula>AND($A252&lt;&gt;"COMPOSICAO",$A252&lt;&gt;"INSUMO",$A252&lt;&gt;"")</formula>
    </cfRule>
    <cfRule type="expression" dxfId="10" priority="404" stopIfTrue="1">
      <formula>AND(OR($A252="COMPOSICAO",$A252="INSUMO",$A252&lt;&gt;""),$A252&lt;&gt;"")</formula>
    </cfRule>
  </conditionalFormatting>
  <conditionalFormatting sqref="F281">
    <cfRule type="expression" dxfId="9" priority="397" stopIfTrue="1">
      <formula>AND($A281&lt;&gt;"COMPOSICAO",$A281&lt;&gt;"INSUMO",$A281&lt;&gt;"")</formula>
    </cfRule>
    <cfRule type="expression" dxfId="8" priority="398" stopIfTrue="1">
      <formula>AND(OR($A281="COMPOSICAO",$A281="INSUMO",$A281&lt;&gt;""),$A281&lt;&gt;"")</formula>
    </cfRule>
  </conditionalFormatting>
  <conditionalFormatting sqref="F286">
    <cfRule type="expression" dxfId="7" priority="395" stopIfTrue="1">
      <formula>AND($A286&lt;&gt;"COMPOSICAO",$A286&lt;&gt;"INSUMO",$A286&lt;&gt;"")</formula>
    </cfRule>
    <cfRule type="expression" dxfId="6" priority="396" stopIfTrue="1">
      <formula>AND(OR($A286="COMPOSICAO",$A286="INSUMO",$A286&lt;&gt;""),$A286&lt;&gt;"")</formula>
    </cfRule>
  </conditionalFormatting>
  <conditionalFormatting sqref="F435">
    <cfRule type="expression" dxfId="5" priority="83" stopIfTrue="1">
      <formula>AND($A435&lt;&gt;"COMPOSICAO",$A435&lt;&gt;"INSUMO",$A435&lt;&gt;"")</formula>
    </cfRule>
    <cfRule type="expression" dxfId="4" priority="84" stopIfTrue="1">
      <formula>AND(OR($A435="COMPOSICAO",$A435="INSUMO",$A435&lt;&gt;""),$A435&lt;&gt;"")</formula>
    </cfRule>
  </conditionalFormatting>
  <conditionalFormatting sqref="F437:F440">
    <cfRule type="expression" dxfId="3" priority="85" stopIfTrue="1">
      <formula>AND($A436&lt;&gt;"COMPOSICAO",$A436&lt;&gt;"INSUMO",$A436&lt;&gt;"")</formula>
    </cfRule>
    <cfRule type="expression" dxfId="2" priority="86" stopIfTrue="1">
      <formula>AND(OR($A436="COMPOSICAO",$A436="INSUMO",$A436&lt;&gt;""),$A436&lt;&gt;"")</formula>
    </cfRule>
  </conditionalFormatting>
  <conditionalFormatting sqref="H323">
    <cfRule type="expression" dxfId="1" priority="781" stopIfTrue="1">
      <formula>AND(#REF!&lt;&gt;"COMPOSICAO",#REF!&lt;&gt;"INSUMO",#REF!&lt;&gt;"")</formula>
    </cfRule>
    <cfRule type="expression" dxfId="0" priority="782" stopIfTrue="1">
      <formula>AND(OR(#REF!="COMPOSICAO",#REF!="INSUMO",#REF!&lt;&gt;""),#REF!&lt;&gt;"")</formula>
    </cfRule>
  </conditionalFormatting>
  <pageMargins left="0.511811024" right="0.511811024" top="0.78740157499999996" bottom="0.78740157499999996" header="0.31496062000000002" footer="0.31496062000000002"/>
  <pageSetup paperSize="9" scale="7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077AF-F566-4FDD-8732-7FF75DFB119C}">
  <sheetPr>
    <tabColor theme="7" tint="0.59999389629810485"/>
    <pageSetUpPr fitToPage="1"/>
  </sheetPr>
  <dimension ref="B2:P37"/>
  <sheetViews>
    <sheetView workbookViewId="0">
      <selection activeCell="G64" sqref="G64"/>
    </sheetView>
  </sheetViews>
  <sheetFormatPr defaultRowHeight="15"/>
  <cols>
    <col min="14" max="14" width="12.140625" customWidth="1"/>
    <col min="15" max="15" width="12" customWidth="1"/>
  </cols>
  <sheetData>
    <row r="2" spans="2:15" ht="33.75" customHeight="1">
      <c r="B2" s="826" t="s">
        <v>925</v>
      </c>
      <c r="C2" s="826"/>
      <c r="D2" s="826"/>
      <c r="E2" s="826"/>
      <c r="F2" s="826"/>
      <c r="G2" s="826"/>
      <c r="H2" s="826"/>
      <c r="I2" s="826"/>
    </row>
    <row r="4" spans="2:15">
      <c r="L4" s="584" t="s">
        <v>926</v>
      </c>
      <c r="M4" s="584"/>
      <c r="N4" s="56">
        <v>3.4500000000000003E-2</v>
      </c>
      <c r="O4" s="56">
        <v>3.4500000000000003E-2</v>
      </c>
    </row>
    <row r="5" spans="2:15">
      <c r="L5" s="584" t="s">
        <v>927</v>
      </c>
      <c r="M5" s="584"/>
      <c r="N5" s="56">
        <v>4.7999999999999996E-3</v>
      </c>
      <c r="O5" s="56">
        <v>4.7999999999999996E-3</v>
      </c>
    </row>
    <row r="6" spans="2:15">
      <c r="L6" s="584" t="s">
        <v>928</v>
      </c>
      <c r="M6" s="584"/>
      <c r="N6" s="56">
        <v>8.5000000000000006E-3</v>
      </c>
      <c r="O6" s="56">
        <v>8.5000000000000006E-3</v>
      </c>
    </row>
    <row r="7" spans="2:15">
      <c r="L7" s="584" t="s">
        <v>929</v>
      </c>
      <c r="M7" s="584"/>
      <c r="N7" s="56">
        <v>8.5000000000000006E-3</v>
      </c>
      <c r="O7" s="56">
        <v>8.5000000000000006E-3</v>
      </c>
    </row>
    <row r="8" spans="2:15">
      <c r="L8" s="584" t="s">
        <v>266</v>
      </c>
      <c r="M8" s="584"/>
      <c r="N8" s="56">
        <v>5.11E-2</v>
      </c>
      <c r="O8" s="56">
        <v>5.11E-2</v>
      </c>
    </row>
    <row r="9" spans="2:15">
      <c r="L9" s="823" t="s">
        <v>930</v>
      </c>
      <c r="M9" s="824"/>
      <c r="N9" s="56">
        <f>N10+N11+N12</f>
        <v>3.6499999999999998E-2</v>
      </c>
      <c r="O9" s="52">
        <f>O10+O11+O12</f>
        <v>9.2499999999999999E-2</v>
      </c>
    </row>
    <row r="10" spans="2:15">
      <c r="L10" s="53"/>
      <c r="M10" t="s">
        <v>931</v>
      </c>
      <c r="N10" s="56">
        <v>0.03</v>
      </c>
      <c r="O10" s="52">
        <v>7.5999999999999998E-2</v>
      </c>
    </row>
    <row r="11" spans="2:15">
      <c r="L11" s="53"/>
      <c r="M11" t="s">
        <v>932</v>
      </c>
      <c r="N11" s="56">
        <v>6.4999999999999997E-3</v>
      </c>
      <c r="O11" s="52">
        <v>1.6500000000000001E-2</v>
      </c>
    </row>
    <row r="12" spans="2:15">
      <c r="L12" s="54"/>
      <c r="M12" s="55" t="s">
        <v>933</v>
      </c>
      <c r="N12" s="56">
        <v>0</v>
      </c>
      <c r="O12" s="56">
        <v>0</v>
      </c>
    </row>
    <row r="14" spans="2:15" ht="21">
      <c r="L14" s="825" t="s">
        <v>934</v>
      </c>
      <c r="M14" s="825"/>
      <c r="N14" s="58">
        <f>(((1+N4+N5+N6)*(1+N7)*(1+N8))/(1-N9))-1</f>
        <v>0.15278047942916406</v>
      </c>
      <c r="O14" s="58">
        <f>(((1+O4+O5+O6)*(1+O7)*(1+O8))/(1-O9))-1</f>
        <v>0.22391624455096393</v>
      </c>
    </row>
    <row r="23" spans="2:16" ht="36.75" customHeight="1">
      <c r="B23" s="826" t="s">
        <v>1614</v>
      </c>
      <c r="C23" s="826"/>
      <c r="D23" s="826"/>
      <c r="E23" s="826"/>
      <c r="F23" s="826"/>
      <c r="G23" s="826"/>
      <c r="H23" s="826"/>
      <c r="I23" s="826"/>
    </row>
    <row r="27" spans="2:16">
      <c r="L27" s="584" t="s">
        <v>926</v>
      </c>
      <c r="M27" s="584"/>
      <c r="N27" s="56">
        <v>0.04</v>
      </c>
      <c r="O27" s="56">
        <v>0.04</v>
      </c>
      <c r="P27" s="57">
        <f>O27+O28+O29</f>
        <v>6.0700000000000004E-2</v>
      </c>
    </row>
    <row r="28" spans="2:16">
      <c r="L28" s="584" t="s">
        <v>927</v>
      </c>
      <c r="M28" s="584"/>
      <c r="N28" s="56">
        <v>8.0000000000000002E-3</v>
      </c>
      <c r="O28" s="56">
        <v>8.0000000000000002E-3</v>
      </c>
    </row>
    <row r="29" spans="2:16">
      <c r="L29" s="584" t="s">
        <v>928</v>
      </c>
      <c r="M29" s="584"/>
      <c r="N29" s="56">
        <v>1.2699999999999999E-2</v>
      </c>
      <c r="O29" s="56">
        <v>1.2699999999999999E-2</v>
      </c>
    </row>
    <row r="30" spans="2:16">
      <c r="L30" s="584" t="s">
        <v>929</v>
      </c>
      <c r="M30" s="584"/>
      <c r="N30" s="56">
        <v>0</v>
      </c>
      <c r="O30" s="56">
        <v>0</v>
      </c>
    </row>
    <row r="31" spans="2:16">
      <c r="L31" s="584" t="s">
        <v>266</v>
      </c>
      <c r="M31" s="584"/>
      <c r="N31" s="56">
        <v>7.3999999999999996E-2</v>
      </c>
      <c r="O31" s="56">
        <v>7.3999999999999996E-2</v>
      </c>
    </row>
    <row r="32" spans="2:16">
      <c r="L32" s="823" t="s">
        <v>930</v>
      </c>
      <c r="M32" s="824"/>
      <c r="N32" s="56">
        <f>N33+N34+N35</f>
        <v>5.6499999999999995E-2</v>
      </c>
      <c r="O32" s="52">
        <f>O33+O34+O35</f>
        <v>0.1125</v>
      </c>
    </row>
    <row r="33" spans="12:15">
      <c r="L33" s="53"/>
      <c r="M33" t="s">
        <v>931</v>
      </c>
      <c r="N33" s="56">
        <v>0.03</v>
      </c>
      <c r="O33" s="52">
        <v>7.5999999999999998E-2</v>
      </c>
    </row>
    <row r="34" spans="12:15">
      <c r="L34" s="53"/>
      <c r="M34" t="s">
        <v>932</v>
      </c>
      <c r="N34" s="56">
        <v>6.4999999999999997E-3</v>
      </c>
      <c r="O34" s="52">
        <v>1.6500000000000001E-2</v>
      </c>
    </row>
    <row r="35" spans="12:15">
      <c r="L35" s="54"/>
      <c r="M35" s="55" t="s">
        <v>933</v>
      </c>
      <c r="N35" s="56">
        <v>0.02</v>
      </c>
      <c r="O35" s="56">
        <v>0.02</v>
      </c>
    </row>
    <row r="37" spans="12:15" ht="21">
      <c r="L37" s="825" t="s">
        <v>934</v>
      </c>
      <c r="M37" s="825"/>
      <c r="N37" s="58">
        <f>(((1+N27+N28+N29)*(1+N30)*(1+N31))/(1-N32))-1</f>
        <v>0.20741049284578694</v>
      </c>
      <c r="O37" s="58">
        <f>(((1+O27+O28+O29)*(1+O30)*(1+O31))/(1-O32))-1</f>
        <v>0.28359639436619744</v>
      </c>
    </row>
  </sheetData>
  <mergeCells count="16">
    <mergeCell ref="B23:I23"/>
    <mergeCell ref="L8:M8"/>
    <mergeCell ref="B2:I2"/>
    <mergeCell ref="L4:M4"/>
    <mergeCell ref="L5:M5"/>
    <mergeCell ref="L6:M6"/>
    <mergeCell ref="L7:M7"/>
    <mergeCell ref="L31:M31"/>
    <mergeCell ref="L32:M32"/>
    <mergeCell ref="L37:M37"/>
    <mergeCell ref="L9:M9"/>
    <mergeCell ref="L14:M14"/>
    <mergeCell ref="L27:M27"/>
    <mergeCell ref="L28:M28"/>
    <mergeCell ref="L29:M29"/>
    <mergeCell ref="L30:M30"/>
  </mergeCells>
  <pageMargins left="0.511811024" right="0.511811024" top="0.78740157499999996" bottom="0.78740157499999996" header="0.31496062000000002" footer="0.31496062000000002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847CE-3996-46F8-B85A-C31066CF5F10}">
  <sheetPr>
    <tabColor rgb="FF00B0F0"/>
    <pageSetUpPr fitToPage="1"/>
  </sheetPr>
  <dimension ref="A1:T120"/>
  <sheetViews>
    <sheetView zoomScale="85" zoomScaleNormal="85" workbookViewId="0">
      <pane ySplit="2475" topLeftCell="A51" activePane="bottomLeft"/>
      <selection activeCell="F1355" sqref="F1316:F1355"/>
      <selection pane="bottomLeft" activeCell="B71" sqref="B71:D71"/>
    </sheetView>
  </sheetViews>
  <sheetFormatPr defaultRowHeight="15.75"/>
  <cols>
    <col min="1" max="1" width="5.140625" style="33" customWidth="1"/>
    <col min="2" max="2" width="15.5703125" style="178" customWidth="1"/>
    <col min="3" max="3" width="15.85546875" style="33" customWidth="1"/>
    <col min="4" max="4" width="15.42578125" style="33" customWidth="1"/>
    <col min="5" max="5" width="9.5703125" style="33" customWidth="1"/>
    <col min="6" max="19" width="16.7109375" style="33" customWidth="1"/>
    <col min="20" max="20" width="2.28515625" style="33" customWidth="1"/>
    <col min="21" max="16384" width="9.140625" style="33"/>
  </cols>
  <sheetData>
    <row r="1" spans="1:20" ht="22.5">
      <c r="A1" s="652" t="s">
        <v>935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4"/>
    </row>
    <row r="2" spans="1:20" ht="28.5" customHeight="1" thickBot="1">
      <c r="A2" s="655" t="s">
        <v>936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7"/>
      <c r="T2" s="385"/>
    </row>
    <row r="3" spans="1:20" ht="8.25" customHeight="1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179"/>
    </row>
    <row r="4" spans="1:20" ht="42.75" customHeight="1">
      <c r="A4" s="588" t="s">
        <v>1198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386"/>
    </row>
    <row r="5" spans="1:20" ht="15" customHeight="1">
      <c r="A5" s="180" t="s">
        <v>937</v>
      </c>
      <c r="B5" s="589" t="s">
        <v>938</v>
      </c>
      <c r="C5" s="589"/>
      <c r="D5" s="589"/>
      <c r="E5" s="589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35"/>
      <c r="T5" s="179"/>
    </row>
    <row r="6" spans="1:20" ht="15" customHeight="1">
      <c r="A6" s="302" t="s">
        <v>939</v>
      </c>
      <c r="B6" s="590" t="s">
        <v>940</v>
      </c>
      <c r="C6" s="591"/>
      <c r="D6" s="591"/>
      <c r="E6" s="592"/>
      <c r="F6" s="135" t="s">
        <v>941</v>
      </c>
      <c r="G6" s="135" t="s">
        <v>941</v>
      </c>
      <c r="H6" s="135" t="s">
        <v>941</v>
      </c>
      <c r="I6" s="135" t="s">
        <v>941</v>
      </c>
      <c r="J6" s="135" t="s">
        <v>941</v>
      </c>
      <c r="K6" s="135" t="s">
        <v>941</v>
      </c>
      <c r="L6" s="135" t="s">
        <v>941</v>
      </c>
      <c r="M6" s="135" t="s">
        <v>941</v>
      </c>
      <c r="N6" s="135" t="s">
        <v>941</v>
      </c>
      <c r="O6" s="135" t="s">
        <v>941</v>
      </c>
      <c r="P6" s="135" t="s">
        <v>941</v>
      </c>
      <c r="Q6" s="135" t="s">
        <v>941</v>
      </c>
      <c r="R6" s="135" t="s">
        <v>941</v>
      </c>
      <c r="S6" s="135" t="s">
        <v>941</v>
      </c>
      <c r="T6" s="179"/>
    </row>
    <row r="7" spans="1:20" ht="15" customHeight="1">
      <c r="A7" s="302" t="s">
        <v>942</v>
      </c>
      <c r="B7" s="590" t="s">
        <v>943</v>
      </c>
      <c r="C7" s="591"/>
      <c r="D7" s="591"/>
      <c r="E7" s="592"/>
      <c r="F7" s="305">
        <v>2024</v>
      </c>
      <c r="G7" s="305">
        <v>2024</v>
      </c>
      <c r="H7" s="305">
        <v>2024</v>
      </c>
      <c r="I7" s="305">
        <v>2025</v>
      </c>
      <c r="J7" s="305">
        <v>2025</v>
      </c>
      <c r="K7" s="305">
        <v>2025</v>
      </c>
      <c r="L7" s="305">
        <v>2025</v>
      </c>
      <c r="M7" s="305">
        <v>2025</v>
      </c>
      <c r="N7" s="305">
        <v>2025</v>
      </c>
      <c r="O7" s="305">
        <v>2025</v>
      </c>
      <c r="P7" s="305">
        <v>2025</v>
      </c>
      <c r="Q7" s="305">
        <v>2025</v>
      </c>
      <c r="R7" s="305">
        <v>2025</v>
      </c>
      <c r="S7" s="305">
        <v>2025</v>
      </c>
      <c r="T7" s="179"/>
    </row>
    <row r="8" spans="1:20" ht="31.5">
      <c r="A8" s="302" t="s">
        <v>944</v>
      </c>
      <c r="B8" s="593" t="s">
        <v>1203</v>
      </c>
      <c r="C8" s="594"/>
      <c r="D8" s="594"/>
      <c r="E8" s="595"/>
      <c r="F8" s="303" t="s">
        <v>1033</v>
      </c>
      <c r="G8" s="303" t="s">
        <v>1033</v>
      </c>
      <c r="H8" s="303" t="s">
        <v>1033</v>
      </c>
      <c r="I8" s="303" t="s">
        <v>1791</v>
      </c>
      <c r="J8" s="303" t="s">
        <v>1032</v>
      </c>
      <c r="K8" s="303" t="s">
        <v>1791</v>
      </c>
      <c r="L8" s="303" t="s">
        <v>1791</v>
      </c>
      <c r="M8" s="303" t="s">
        <v>1791</v>
      </c>
      <c r="N8" s="303" t="s">
        <v>1791</v>
      </c>
      <c r="O8" s="303" t="s">
        <v>1791</v>
      </c>
      <c r="P8" s="303" t="s">
        <v>1791</v>
      </c>
      <c r="Q8" s="303" t="s">
        <v>1032</v>
      </c>
      <c r="R8" s="303" t="s">
        <v>1032</v>
      </c>
      <c r="S8" s="303" t="s">
        <v>1032</v>
      </c>
      <c r="T8" s="179"/>
    </row>
    <row r="9" spans="1:20" ht="8.25" customHeight="1">
      <c r="A9" s="596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179"/>
    </row>
    <row r="10" spans="1:20" ht="15" customHeight="1">
      <c r="A10" s="661" t="s">
        <v>946</v>
      </c>
      <c r="B10" s="661"/>
      <c r="C10" s="661"/>
      <c r="D10" s="661"/>
      <c r="E10" s="661"/>
      <c r="F10" s="661"/>
      <c r="G10" s="661"/>
      <c r="H10" s="661"/>
      <c r="I10" s="661"/>
      <c r="J10" s="661"/>
      <c r="K10" s="661"/>
      <c r="L10" s="661"/>
      <c r="M10" s="661"/>
      <c r="N10" s="661"/>
      <c r="O10" s="661"/>
      <c r="P10" s="661"/>
      <c r="Q10" s="661"/>
      <c r="R10" s="661"/>
      <c r="S10" s="661"/>
      <c r="T10" s="179"/>
    </row>
    <row r="11" spans="1:20" ht="15" customHeight="1">
      <c r="A11" s="180">
        <v>1</v>
      </c>
      <c r="B11" s="590" t="s">
        <v>947</v>
      </c>
      <c r="C11" s="591"/>
      <c r="D11" s="591"/>
      <c r="E11" s="591"/>
      <c r="F11" s="663" t="s">
        <v>1159</v>
      </c>
      <c r="G11" s="663"/>
      <c r="H11" s="663"/>
      <c r="I11" s="663"/>
      <c r="J11" s="663"/>
      <c r="K11" s="663"/>
      <c r="L11" s="663"/>
      <c r="M11" s="663"/>
      <c r="N11" s="663"/>
      <c r="O11" s="663"/>
      <c r="P11" s="663"/>
      <c r="Q11" s="663"/>
      <c r="R11" s="663"/>
      <c r="S11" s="663"/>
      <c r="T11" s="179"/>
    </row>
    <row r="12" spans="1:20">
      <c r="A12" s="180">
        <v>2</v>
      </c>
      <c r="B12" s="590" t="s">
        <v>948</v>
      </c>
      <c r="C12" s="591"/>
      <c r="D12" s="591"/>
      <c r="E12" s="59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35"/>
      <c r="T12" s="179"/>
    </row>
    <row r="13" spans="1:20">
      <c r="A13" s="180">
        <v>3</v>
      </c>
      <c r="B13" s="590" t="s">
        <v>1790</v>
      </c>
      <c r="C13" s="591"/>
      <c r="D13" s="591"/>
      <c r="E13" s="591"/>
      <c r="F13" s="304">
        <f>8.5*1621</f>
        <v>13778.5</v>
      </c>
      <c r="G13" s="304">
        <f>F13</f>
        <v>13778.5</v>
      </c>
      <c r="H13" s="304">
        <f>F13</f>
        <v>13778.5</v>
      </c>
      <c r="I13" s="304"/>
      <c r="J13" s="304"/>
      <c r="K13" s="304"/>
      <c r="L13" s="304">
        <f>L19</f>
        <v>4510.3100000000004</v>
      </c>
      <c r="M13" s="304">
        <f>M19</f>
        <v>3716.38</v>
      </c>
      <c r="N13" s="304">
        <f>N19</f>
        <v>3716.38</v>
      </c>
      <c r="O13" s="304">
        <f>O19</f>
        <v>3716.38</v>
      </c>
      <c r="P13" s="304">
        <f>P19</f>
        <v>3716.38</v>
      </c>
      <c r="Q13" s="304">
        <v>2424.4</v>
      </c>
      <c r="R13" s="304">
        <v>2424.4</v>
      </c>
      <c r="S13" s="12">
        <v>1518</v>
      </c>
      <c r="T13" s="179"/>
    </row>
    <row r="14" spans="1:20">
      <c r="A14" s="180">
        <v>4</v>
      </c>
      <c r="B14" s="590" t="s">
        <v>950</v>
      </c>
      <c r="C14" s="591"/>
      <c r="D14" s="591"/>
      <c r="E14" s="59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35"/>
      <c r="T14" s="179"/>
    </row>
    <row r="15" spans="1:20">
      <c r="A15" s="180">
        <v>5</v>
      </c>
      <c r="B15" s="590" t="s">
        <v>951</v>
      </c>
      <c r="C15" s="591"/>
      <c r="D15" s="591"/>
      <c r="E15" s="591"/>
      <c r="F15" s="182"/>
      <c r="G15" s="182"/>
      <c r="H15" s="182"/>
      <c r="I15" s="182">
        <v>46023</v>
      </c>
      <c r="J15" s="182">
        <v>45778</v>
      </c>
      <c r="K15" s="182">
        <v>45778</v>
      </c>
      <c r="L15" s="182">
        <v>46023</v>
      </c>
      <c r="M15" s="182">
        <v>46023</v>
      </c>
      <c r="N15" s="182">
        <v>46023</v>
      </c>
      <c r="O15" s="182">
        <v>46023</v>
      </c>
      <c r="P15" s="182">
        <v>46023</v>
      </c>
      <c r="Q15" s="182">
        <v>45778</v>
      </c>
      <c r="R15" s="182">
        <v>45778</v>
      </c>
      <c r="S15" s="182">
        <v>45778</v>
      </c>
    </row>
    <row r="16" spans="1:20" ht="9.75" customHeight="1">
      <c r="A16" s="596"/>
      <c r="B16" s="596"/>
      <c r="C16" s="596"/>
      <c r="D16" s="596"/>
      <c r="E16" s="596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596"/>
      <c r="T16" s="179"/>
    </row>
    <row r="17" spans="1:20" ht="31.5">
      <c r="A17" s="651"/>
      <c r="B17" s="651"/>
      <c r="C17" s="651"/>
      <c r="D17" s="651"/>
      <c r="E17" s="651"/>
      <c r="F17" s="415" t="s">
        <v>1048</v>
      </c>
      <c r="G17" s="415" t="s">
        <v>1036</v>
      </c>
      <c r="H17" s="415" t="s">
        <v>1037</v>
      </c>
      <c r="I17" s="415" t="s">
        <v>1151</v>
      </c>
      <c r="J17" s="415" t="s">
        <v>1152</v>
      </c>
      <c r="K17" s="415" t="s">
        <v>1153</v>
      </c>
      <c r="L17" s="415" t="s">
        <v>1218</v>
      </c>
      <c r="M17" s="415" t="s">
        <v>1154</v>
      </c>
      <c r="N17" s="415" t="s">
        <v>1155</v>
      </c>
      <c r="O17" s="415" t="s">
        <v>1156</v>
      </c>
      <c r="P17" s="415" t="s">
        <v>1157</v>
      </c>
      <c r="Q17" s="415" t="s">
        <v>952</v>
      </c>
      <c r="R17" s="415" t="s">
        <v>953</v>
      </c>
      <c r="S17" s="415" t="s">
        <v>1158</v>
      </c>
      <c r="T17" s="183"/>
    </row>
    <row r="18" spans="1:20" ht="16.5" thickBot="1">
      <c r="A18" s="307">
        <v>1</v>
      </c>
      <c r="B18" s="658" t="s">
        <v>954</v>
      </c>
      <c r="C18" s="659"/>
      <c r="D18" s="660"/>
      <c r="E18" s="308" t="s">
        <v>955</v>
      </c>
      <c r="F18" s="184" t="s">
        <v>956</v>
      </c>
      <c r="G18" s="184" t="s">
        <v>956</v>
      </c>
      <c r="H18" s="184" t="s">
        <v>956</v>
      </c>
      <c r="I18" s="184" t="s">
        <v>956</v>
      </c>
      <c r="J18" s="184" t="s">
        <v>956</v>
      </c>
      <c r="K18" s="184" t="s">
        <v>956</v>
      </c>
      <c r="L18" s="184" t="s">
        <v>956</v>
      </c>
      <c r="M18" s="184" t="s">
        <v>956</v>
      </c>
      <c r="N18" s="184" t="s">
        <v>956</v>
      </c>
      <c r="O18" s="184" t="s">
        <v>956</v>
      </c>
      <c r="P18" s="184" t="s">
        <v>956</v>
      </c>
      <c r="Q18" s="184" t="s">
        <v>956</v>
      </c>
      <c r="R18" s="184" t="s">
        <v>956</v>
      </c>
      <c r="S18" s="184" t="s">
        <v>956</v>
      </c>
      <c r="T18" s="185"/>
    </row>
    <row r="19" spans="1:20">
      <c r="A19" s="186" t="s">
        <v>937</v>
      </c>
      <c r="B19" s="612" t="s">
        <v>957</v>
      </c>
      <c r="C19" s="613"/>
      <c r="D19" s="621"/>
      <c r="E19" s="187"/>
      <c r="F19" s="169">
        <f>8.5*1621</f>
        <v>13778.5</v>
      </c>
      <c r="G19" s="169">
        <f>8.5*1621</f>
        <v>13778.5</v>
      </c>
      <c r="H19" s="169">
        <f>8.5*1621</f>
        <v>13778.5</v>
      </c>
      <c r="I19" s="169">
        <v>3716.38</v>
      </c>
      <c r="J19" s="169">
        <f>MC!U4</f>
        <v>3037.88</v>
      </c>
      <c r="K19" s="169">
        <f>MC!Q4</f>
        <v>5875.22</v>
      </c>
      <c r="L19" s="169">
        <v>4510.3100000000004</v>
      </c>
      <c r="M19" s="169">
        <v>3716.38</v>
      </c>
      <c r="N19" s="169">
        <v>3716.38</v>
      </c>
      <c r="O19" s="169">
        <v>3716.38</v>
      </c>
      <c r="P19" s="169">
        <v>3716.38</v>
      </c>
      <c r="Q19" s="169">
        <f t="shared" ref="Q19:R19" si="0">Q13</f>
        <v>2424.4</v>
      </c>
      <c r="R19" s="169">
        <f t="shared" si="0"/>
        <v>2424.4</v>
      </c>
      <c r="S19" s="169">
        <v>1639</v>
      </c>
      <c r="T19" s="170"/>
    </row>
    <row r="20" spans="1:20">
      <c r="A20" s="188" t="s">
        <v>939</v>
      </c>
      <c r="B20" s="597" t="s">
        <v>958</v>
      </c>
      <c r="C20" s="598"/>
      <c r="D20" s="599"/>
      <c r="E20" s="189">
        <v>0.3</v>
      </c>
      <c r="F20" s="171"/>
      <c r="G20" s="171"/>
      <c r="H20" s="171"/>
      <c r="I20" s="171"/>
      <c r="J20" s="171"/>
      <c r="K20" s="171"/>
      <c r="L20" s="171"/>
      <c r="M20" s="171">
        <f>M19*$E$20</f>
        <v>1114.914</v>
      </c>
      <c r="N20" s="171">
        <f>N19*$E$20</f>
        <v>1114.914</v>
      </c>
      <c r="O20" s="171"/>
      <c r="P20" s="171"/>
      <c r="Q20" s="171">
        <f>Q19*$E$20</f>
        <v>727.32</v>
      </c>
      <c r="R20" s="171"/>
      <c r="S20" s="171"/>
      <c r="T20" s="170"/>
    </row>
    <row r="21" spans="1:20">
      <c r="A21" s="190" t="s">
        <v>942</v>
      </c>
      <c r="B21" s="597" t="s">
        <v>959</v>
      </c>
      <c r="C21" s="598"/>
      <c r="D21" s="599"/>
      <c r="E21" s="189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0"/>
    </row>
    <row r="22" spans="1:20">
      <c r="A22" s="188" t="s">
        <v>944</v>
      </c>
      <c r="B22" s="597" t="s">
        <v>960</v>
      </c>
      <c r="C22" s="598"/>
      <c r="D22" s="599"/>
      <c r="E22" s="189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0"/>
    </row>
    <row r="23" spans="1:20">
      <c r="A23" s="190" t="s">
        <v>945</v>
      </c>
      <c r="B23" s="597" t="s">
        <v>961</v>
      </c>
      <c r="C23" s="598"/>
      <c r="D23" s="599"/>
      <c r="E23" s="189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0"/>
    </row>
    <row r="24" spans="1:20">
      <c r="A24" s="188" t="s">
        <v>962</v>
      </c>
      <c r="B24" s="597" t="s">
        <v>963</v>
      </c>
      <c r="C24" s="598"/>
      <c r="D24" s="599"/>
      <c r="E24" s="189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0"/>
    </row>
    <row r="25" spans="1:20" ht="16.5" thickBot="1">
      <c r="A25" s="191"/>
      <c r="B25" s="602" t="s">
        <v>964</v>
      </c>
      <c r="C25" s="603"/>
      <c r="D25" s="625"/>
      <c r="E25" s="192"/>
      <c r="F25" s="172">
        <f>SUM(F19:F24)</f>
        <v>13778.5</v>
      </c>
      <c r="G25" s="172">
        <f>SUM(G19:G24)</f>
        <v>13778.5</v>
      </c>
      <c r="H25" s="172">
        <f>SUM(H19:H24)</f>
        <v>13778.5</v>
      </c>
      <c r="I25" s="172">
        <f t="shared" ref="I25:J25" si="1">SUM(I19:I24)</f>
        <v>3716.38</v>
      </c>
      <c r="J25" s="172">
        <f t="shared" si="1"/>
        <v>3037.88</v>
      </c>
      <c r="K25" s="172">
        <f t="shared" ref="K25:S25" si="2">SUM(K19:K24)</f>
        <v>5875.22</v>
      </c>
      <c r="L25" s="172">
        <f t="shared" ref="L25" si="3">SUM(L19:L24)</f>
        <v>4510.3100000000004</v>
      </c>
      <c r="M25" s="172">
        <f t="shared" si="2"/>
        <v>4831.2939999999999</v>
      </c>
      <c r="N25" s="172">
        <f t="shared" ref="N25:O25" si="4">SUM(N19:N24)</f>
        <v>4831.2939999999999</v>
      </c>
      <c r="O25" s="172">
        <f t="shared" si="4"/>
        <v>3716.38</v>
      </c>
      <c r="P25" s="172">
        <f t="shared" ref="P25" si="5">SUM(P19:P24)</f>
        <v>3716.38</v>
      </c>
      <c r="Q25" s="172">
        <f t="shared" si="2"/>
        <v>3151.7200000000003</v>
      </c>
      <c r="R25" s="172">
        <f>SUM(R19:R24)</f>
        <v>2424.4</v>
      </c>
      <c r="S25" s="172">
        <f t="shared" si="2"/>
        <v>1639</v>
      </c>
      <c r="T25" s="173"/>
    </row>
    <row r="26" spans="1:20" ht="11.25" customHeight="1" thickBot="1">
      <c r="A26" s="193"/>
      <c r="C26" s="178"/>
      <c r="D26" s="178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</row>
    <row r="27" spans="1:20" ht="16.5" thickBot="1">
      <c r="A27" s="195">
        <v>2</v>
      </c>
      <c r="B27" s="649" t="s">
        <v>965</v>
      </c>
      <c r="C27" s="650"/>
      <c r="D27" s="650"/>
      <c r="E27" s="196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8"/>
      <c r="T27" s="194"/>
    </row>
    <row r="28" spans="1:20" ht="6" customHeight="1" thickBot="1">
      <c r="A28" s="199"/>
      <c r="B28" s="200"/>
      <c r="C28" s="200"/>
      <c r="D28" s="200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</row>
    <row r="29" spans="1:20" ht="16.5" thickBot="1">
      <c r="A29" s="201" t="s">
        <v>83</v>
      </c>
      <c r="B29" s="618" t="s">
        <v>966</v>
      </c>
      <c r="C29" s="619"/>
      <c r="D29" s="620"/>
      <c r="E29" s="202" t="s">
        <v>967</v>
      </c>
      <c r="F29" s="203" t="s">
        <v>956</v>
      </c>
      <c r="G29" s="203" t="s">
        <v>956</v>
      </c>
      <c r="H29" s="203" t="s">
        <v>956</v>
      </c>
      <c r="I29" s="203" t="s">
        <v>956</v>
      </c>
      <c r="J29" s="203" t="s">
        <v>956</v>
      </c>
      <c r="K29" s="203" t="s">
        <v>956</v>
      </c>
      <c r="L29" s="203" t="s">
        <v>956</v>
      </c>
      <c r="M29" s="203" t="s">
        <v>956</v>
      </c>
      <c r="N29" s="203" t="s">
        <v>956</v>
      </c>
      <c r="O29" s="203" t="s">
        <v>956</v>
      </c>
      <c r="P29" s="203" t="s">
        <v>956</v>
      </c>
      <c r="Q29" s="203" t="s">
        <v>956</v>
      </c>
      <c r="R29" s="203" t="s">
        <v>956</v>
      </c>
      <c r="S29" s="203" t="s">
        <v>956</v>
      </c>
      <c r="T29" s="194"/>
    </row>
    <row r="30" spans="1:20">
      <c r="A30" s="186" t="s">
        <v>937</v>
      </c>
      <c r="B30" s="612" t="s">
        <v>968</v>
      </c>
      <c r="C30" s="613"/>
      <c r="D30" s="614"/>
      <c r="E30" s="174">
        <f>1/12</f>
        <v>8.3333333333333329E-2</v>
      </c>
      <c r="F30" s="204">
        <f>F25*$E$30</f>
        <v>1148.2083333333333</v>
      </c>
      <c r="G30" s="204">
        <f>G25*$E$30</f>
        <v>1148.2083333333333</v>
      </c>
      <c r="H30" s="204">
        <f>H25*$E$30</f>
        <v>1148.2083333333333</v>
      </c>
      <c r="I30" s="204">
        <f t="shared" ref="I30:J30" si="6">I25*$E$30</f>
        <v>309.69833333333332</v>
      </c>
      <c r="J30" s="204">
        <f t="shared" si="6"/>
        <v>253.15666666666667</v>
      </c>
      <c r="K30" s="204">
        <f t="shared" ref="K30:S30" si="7">K25*$E$30</f>
        <v>489.60166666666669</v>
      </c>
      <c r="L30" s="204">
        <f t="shared" ref="L30" si="8">L25*$E$30</f>
        <v>375.85916666666668</v>
      </c>
      <c r="M30" s="204">
        <f t="shared" si="7"/>
        <v>402.6078333333333</v>
      </c>
      <c r="N30" s="204">
        <f t="shared" ref="N30:O30" si="9">N25*$E$30</f>
        <v>402.6078333333333</v>
      </c>
      <c r="O30" s="204">
        <f t="shared" si="9"/>
        <v>309.69833333333332</v>
      </c>
      <c r="P30" s="204">
        <f t="shared" ref="P30" si="10">P25*$E$30</f>
        <v>309.69833333333332</v>
      </c>
      <c r="Q30" s="204">
        <f>Q25*$E$30</f>
        <v>262.64333333333332</v>
      </c>
      <c r="R30" s="204">
        <f>R25*$E$30</f>
        <v>202.03333333333333</v>
      </c>
      <c r="S30" s="204">
        <f t="shared" si="7"/>
        <v>136.58333333333331</v>
      </c>
      <c r="T30" s="194"/>
    </row>
    <row r="31" spans="1:20">
      <c r="A31" s="190" t="s">
        <v>939</v>
      </c>
      <c r="B31" s="597" t="s">
        <v>969</v>
      </c>
      <c r="C31" s="598"/>
      <c r="D31" s="611"/>
      <c r="E31" s="175">
        <f>(1/3)/12</f>
        <v>2.7777777777777776E-2</v>
      </c>
      <c r="F31" s="204">
        <f t="shared" ref="F31:L31" si="11">F25*$E$31</f>
        <v>382.73611111111109</v>
      </c>
      <c r="G31" s="204">
        <f t="shared" si="11"/>
        <v>382.73611111111109</v>
      </c>
      <c r="H31" s="204">
        <f t="shared" si="11"/>
        <v>382.73611111111109</v>
      </c>
      <c r="I31" s="204">
        <f t="shared" si="11"/>
        <v>103.23277777777777</v>
      </c>
      <c r="J31" s="204">
        <f t="shared" si="11"/>
        <v>84.385555555555555</v>
      </c>
      <c r="K31" s="204">
        <f t="shared" si="11"/>
        <v>163.20055555555555</v>
      </c>
      <c r="L31" s="204">
        <f t="shared" si="11"/>
        <v>125.28638888888889</v>
      </c>
      <c r="M31" s="204">
        <f t="shared" ref="M31:R31" si="12">M25*$E$31</f>
        <v>134.20261111111111</v>
      </c>
      <c r="N31" s="204">
        <f t="shared" ref="N31:O31" si="13">N25*$E$31</f>
        <v>134.20261111111111</v>
      </c>
      <c r="O31" s="204">
        <f t="shared" si="13"/>
        <v>103.23277777777777</v>
      </c>
      <c r="P31" s="204">
        <f t="shared" ref="P31" si="14">P25*$E$31</f>
        <v>103.23277777777777</v>
      </c>
      <c r="Q31" s="204">
        <f t="shared" si="12"/>
        <v>87.547777777777782</v>
      </c>
      <c r="R31" s="204">
        <f t="shared" si="12"/>
        <v>67.344444444444449</v>
      </c>
      <c r="S31" s="204">
        <f>S25*$E$31</f>
        <v>45.527777777777779</v>
      </c>
      <c r="T31" s="194"/>
    </row>
    <row r="32" spans="1:20">
      <c r="A32" s="188" t="s">
        <v>942</v>
      </c>
      <c r="B32" s="597" t="s">
        <v>970</v>
      </c>
      <c r="C32" s="598"/>
      <c r="D32" s="611"/>
      <c r="E32" s="392">
        <f>E45</f>
        <v>0.40800000000000008</v>
      </c>
      <c r="F32" s="205">
        <f t="shared" ref="F32:Q32" si="15">(F30+F31)*$E$32</f>
        <v>624.6253333333334</v>
      </c>
      <c r="G32" s="205">
        <f t="shared" si="15"/>
        <v>624.6253333333334</v>
      </c>
      <c r="H32" s="205">
        <f t="shared" si="15"/>
        <v>624.6253333333334</v>
      </c>
      <c r="I32" s="205">
        <f t="shared" si="15"/>
        <v>168.47589333333335</v>
      </c>
      <c r="J32" s="205">
        <f t="shared" si="15"/>
        <v>137.7172266666667</v>
      </c>
      <c r="K32" s="205">
        <f t="shared" si="15"/>
        <v>266.34330666666671</v>
      </c>
      <c r="L32" s="205">
        <f t="shared" si="15"/>
        <v>204.46738666666673</v>
      </c>
      <c r="M32" s="205">
        <f t="shared" si="15"/>
        <v>219.01866133333337</v>
      </c>
      <c r="N32" s="205">
        <f t="shared" si="15"/>
        <v>219.01866133333337</v>
      </c>
      <c r="O32" s="205">
        <f t="shared" si="15"/>
        <v>168.47589333333335</v>
      </c>
      <c r="P32" s="205">
        <f t="shared" si="15"/>
        <v>168.47589333333335</v>
      </c>
      <c r="Q32" s="205">
        <f t="shared" si="15"/>
        <v>142.87797333333336</v>
      </c>
      <c r="R32" s="205">
        <f t="shared" ref="R32" si="16">(R30+R31)*$E$32</f>
        <v>109.90613333333336</v>
      </c>
      <c r="S32" s="205">
        <f>(S30+S31)*$E$32</f>
        <v>74.301333333333332</v>
      </c>
      <c r="T32" s="194"/>
    </row>
    <row r="33" spans="1:20">
      <c r="A33" s="191"/>
      <c r="B33" s="602" t="s">
        <v>971</v>
      </c>
      <c r="C33" s="603"/>
      <c r="D33" s="604"/>
      <c r="E33" s="206"/>
      <c r="F33" s="207">
        <f>SUM(F30:F32)</f>
        <v>2155.5697777777777</v>
      </c>
      <c r="G33" s="207">
        <f>SUM(G30:G32)</f>
        <v>2155.5697777777777</v>
      </c>
      <c r="H33" s="207">
        <f>SUM(H30:H32)</f>
        <v>2155.5697777777777</v>
      </c>
      <c r="I33" s="207">
        <f t="shared" ref="I33:J33" si="17">SUM(I30:I32)</f>
        <v>581.4070044444444</v>
      </c>
      <c r="J33" s="207">
        <f t="shared" si="17"/>
        <v>475.25944888888893</v>
      </c>
      <c r="K33" s="207">
        <f t="shared" ref="K33:S33" si="18">SUM(K30:K32)</f>
        <v>919.14552888888898</v>
      </c>
      <c r="L33" s="207">
        <f t="shared" ref="L33" si="19">SUM(L30:L32)</f>
        <v>705.61294222222227</v>
      </c>
      <c r="M33" s="207">
        <f t="shared" si="18"/>
        <v>755.82910577777784</v>
      </c>
      <c r="N33" s="207">
        <f t="shared" ref="N33:O33" si="20">SUM(N30:N32)</f>
        <v>755.82910577777784</v>
      </c>
      <c r="O33" s="207">
        <f t="shared" si="20"/>
        <v>581.4070044444444</v>
      </c>
      <c r="P33" s="207">
        <f t="shared" ref="P33" si="21">SUM(P30:P32)</f>
        <v>581.4070044444444</v>
      </c>
      <c r="Q33" s="207">
        <f t="shared" si="18"/>
        <v>493.06908444444446</v>
      </c>
      <c r="R33" s="207">
        <f t="shared" si="18"/>
        <v>379.28391111111114</v>
      </c>
      <c r="S33" s="207">
        <f t="shared" si="18"/>
        <v>256.41244444444442</v>
      </c>
      <c r="T33" s="208"/>
    </row>
    <row r="34" spans="1:20" ht="5.25" customHeight="1" thickBot="1">
      <c r="A34" s="199"/>
      <c r="B34" s="200"/>
      <c r="C34" s="200"/>
      <c r="D34" s="200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</row>
    <row r="35" spans="1:20" ht="48" customHeight="1" thickBot="1">
      <c r="A35" s="201" t="s">
        <v>87</v>
      </c>
      <c r="B35" s="615" t="s">
        <v>972</v>
      </c>
      <c r="C35" s="616"/>
      <c r="D35" s="617"/>
      <c r="E35" s="209" t="s">
        <v>967</v>
      </c>
      <c r="F35" s="210" t="s">
        <v>956</v>
      </c>
      <c r="G35" s="210" t="s">
        <v>956</v>
      </c>
      <c r="H35" s="210" t="s">
        <v>956</v>
      </c>
      <c r="I35" s="210" t="s">
        <v>956</v>
      </c>
      <c r="J35" s="210" t="s">
        <v>956</v>
      </c>
      <c r="K35" s="210" t="s">
        <v>956</v>
      </c>
      <c r="L35" s="210" t="s">
        <v>956</v>
      </c>
      <c r="M35" s="210" t="s">
        <v>956</v>
      </c>
      <c r="N35" s="210" t="s">
        <v>956</v>
      </c>
      <c r="O35" s="210" t="s">
        <v>956</v>
      </c>
      <c r="P35" s="210" t="s">
        <v>956</v>
      </c>
      <c r="Q35" s="210" t="s">
        <v>956</v>
      </c>
      <c r="R35" s="210" t="s">
        <v>956</v>
      </c>
      <c r="S35" s="210" t="s">
        <v>956</v>
      </c>
      <c r="T35" s="194"/>
    </row>
    <row r="36" spans="1:20">
      <c r="A36" s="186" t="s">
        <v>937</v>
      </c>
      <c r="B36" s="612" t="s">
        <v>973</v>
      </c>
      <c r="C36" s="613"/>
      <c r="D36" s="614"/>
      <c r="E36" s="391">
        <f>MC!D17</f>
        <v>0.2</v>
      </c>
      <c r="F36" s="204">
        <f t="shared" ref="F36:L36" si="22">(F25*$E$36)</f>
        <v>2755.7000000000003</v>
      </c>
      <c r="G36" s="204">
        <f t="shared" si="22"/>
        <v>2755.7000000000003</v>
      </c>
      <c r="H36" s="204">
        <f t="shared" si="22"/>
        <v>2755.7000000000003</v>
      </c>
      <c r="I36" s="204">
        <f t="shared" si="22"/>
        <v>743.27600000000007</v>
      </c>
      <c r="J36" s="204">
        <f t="shared" si="22"/>
        <v>607.57600000000002</v>
      </c>
      <c r="K36" s="204">
        <f t="shared" si="22"/>
        <v>1175.0440000000001</v>
      </c>
      <c r="L36" s="204">
        <f t="shared" si="22"/>
        <v>902.06200000000013</v>
      </c>
      <c r="M36" s="204">
        <f t="shared" ref="M36:S36" si="23">(M25*$E$36)</f>
        <v>966.25880000000006</v>
      </c>
      <c r="N36" s="204">
        <f t="shared" ref="N36:O36" si="24">(N25*$E$36)</f>
        <v>966.25880000000006</v>
      </c>
      <c r="O36" s="204">
        <f t="shared" si="24"/>
        <v>743.27600000000007</v>
      </c>
      <c r="P36" s="204">
        <f t="shared" ref="P36" si="25">(P25*$E$36)</f>
        <v>743.27600000000007</v>
      </c>
      <c r="Q36" s="204">
        <f t="shared" si="23"/>
        <v>630.34400000000005</v>
      </c>
      <c r="R36" s="204">
        <f t="shared" si="23"/>
        <v>484.88000000000005</v>
      </c>
      <c r="S36" s="204">
        <f t="shared" si="23"/>
        <v>327.8</v>
      </c>
      <c r="T36" s="194"/>
    </row>
    <row r="37" spans="1:20">
      <c r="A37" s="190" t="s">
        <v>939</v>
      </c>
      <c r="B37" s="597" t="s">
        <v>974</v>
      </c>
      <c r="C37" s="598"/>
      <c r="D37" s="611"/>
      <c r="E37" s="391">
        <f>MC!D18</f>
        <v>2.5000000000000001E-2</v>
      </c>
      <c r="F37" s="204">
        <f>(F25*$E$37)</f>
        <v>344.46250000000003</v>
      </c>
      <c r="G37" s="204">
        <f>(G25*$E$37)</f>
        <v>344.46250000000003</v>
      </c>
      <c r="H37" s="204">
        <f>(H25*$E$37)</f>
        <v>344.46250000000003</v>
      </c>
      <c r="I37" s="204">
        <f t="shared" ref="I37:J37" si="26">(I25*$E$37)</f>
        <v>92.909500000000008</v>
      </c>
      <c r="J37" s="204">
        <f t="shared" si="26"/>
        <v>75.947000000000003</v>
      </c>
      <c r="K37" s="204">
        <f t="shared" ref="K37:S37" si="27">(K25*$E$37)</f>
        <v>146.88050000000001</v>
      </c>
      <c r="L37" s="204">
        <f t="shared" ref="L37" si="28">(L25*$E$37)</f>
        <v>112.75775000000002</v>
      </c>
      <c r="M37" s="204">
        <f t="shared" si="27"/>
        <v>120.78235000000001</v>
      </c>
      <c r="N37" s="204">
        <f t="shared" ref="N37:O37" si="29">(N25*$E$37)</f>
        <v>120.78235000000001</v>
      </c>
      <c r="O37" s="204">
        <f t="shared" si="29"/>
        <v>92.909500000000008</v>
      </c>
      <c r="P37" s="204">
        <f t="shared" ref="P37" si="30">(P25*$E$37)</f>
        <v>92.909500000000008</v>
      </c>
      <c r="Q37" s="204">
        <f t="shared" si="27"/>
        <v>78.793000000000006</v>
      </c>
      <c r="R37" s="204">
        <f>(R25*$E$37)</f>
        <v>60.610000000000007</v>
      </c>
      <c r="S37" s="204">
        <f t="shared" si="27"/>
        <v>40.975000000000001</v>
      </c>
      <c r="T37" s="194"/>
    </row>
    <row r="38" spans="1:20">
      <c r="A38" s="190" t="s">
        <v>942</v>
      </c>
      <c r="B38" s="597" t="s">
        <v>1404</v>
      </c>
      <c r="C38" s="598"/>
      <c r="D38" s="611"/>
      <c r="E38" s="391">
        <f>MC!D19</f>
        <v>0.06</v>
      </c>
      <c r="F38" s="204">
        <f>(F25*$E$38)</f>
        <v>826.70999999999992</v>
      </c>
      <c r="G38" s="204">
        <f>(G25*$E$38)</f>
        <v>826.70999999999992</v>
      </c>
      <c r="H38" s="204">
        <f>(H25*$E$38)</f>
        <v>826.70999999999992</v>
      </c>
      <c r="I38" s="204">
        <f t="shared" ref="I38:J38" si="31">(I25*$E$38)</f>
        <v>222.9828</v>
      </c>
      <c r="J38" s="204">
        <f t="shared" si="31"/>
        <v>182.27279999999999</v>
      </c>
      <c r="K38" s="204">
        <f t="shared" ref="K38:S38" si="32">(K25*$E$38)</f>
        <v>352.51319999999998</v>
      </c>
      <c r="L38" s="204">
        <f t="shared" ref="L38" si="33">(L25*$E$38)</f>
        <v>270.61860000000001</v>
      </c>
      <c r="M38" s="204">
        <f t="shared" si="32"/>
        <v>289.87763999999999</v>
      </c>
      <c r="N38" s="204">
        <f t="shared" ref="N38:O38" si="34">(N25*$E$38)</f>
        <v>289.87763999999999</v>
      </c>
      <c r="O38" s="204">
        <f t="shared" si="34"/>
        <v>222.9828</v>
      </c>
      <c r="P38" s="204">
        <f t="shared" ref="P38" si="35">(P25*$E$38)</f>
        <v>222.9828</v>
      </c>
      <c r="Q38" s="204">
        <f t="shared" si="32"/>
        <v>189.10320000000002</v>
      </c>
      <c r="R38" s="204">
        <f t="shared" si="32"/>
        <v>145.464</v>
      </c>
      <c r="S38" s="204">
        <f t="shared" si="32"/>
        <v>98.34</v>
      </c>
      <c r="T38" s="194"/>
    </row>
    <row r="39" spans="1:20">
      <c r="A39" s="190" t="s">
        <v>944</v>
      </c>
      <c r="B39" s="597" t="s">
        <v>976</v>
      </c>
      <c r="C39" s="598"/>
      <c r="D39" s="611"/>
      <c r="E39" s="391">
        <f>MC!D21</f>
        <v>1.4999999999999999E-2</v>
      </c>
      <c r="F39" s="204">
        <f>(F25*$E$39)</f>
        <v>206.67749999999998</v>
      </c>
      <c r="G39" s="204">
        <f>(G25*$E$39)</f>
        <v>206.67749999999998</v>
      </c>
      <c r="H39" s="204">
        <f>(H25*$E$39)</f>
        <v>206.67749999999998</v>
      </c>
      <c r="I39" s="204">
        <f t="shared" ref="I39:J39" si="36">(I25*$E$39)</f>
        <v>55.745699999999999</v>
      </c>
      <c r="J39" s="204">
        <f t="shared" si="36"/>
        <v>45.568199999999997</v>
      </c>
      <c r="K39" s="204">
        <f t="shared" ref="K39:Q39" si="37">(K25*$E$39)</f>
        <v>88.128299999999996</v>
      </c>
      <c r="L39" s="204">
        <f t="shared" ref="L39" si="38">(L25*$E$39)</f>
        <v>67.654650000000004</v>
      </c>
      <c r="M39" s="204">
        <f t="shared" si="37"/>
        <v>72.469409999999996</v>
      </c>
      <c r="N39" s="204">
        <f t="shared" ref="N39:O39" si="39">(N25*$E$39)</f>
        <v>72.469409999999996</v>
      </c>
      <c r="O39" s="204">
        <f t="shared" si="39"/>
        <v>55.745699999999999</v>
      </c>
      <c r="P39" s="204">
        <f t="shared" ref="P39" si="40">(P25*$E$39)</f>
        <v>55.745699999999999</v>
      </c>
      <c r="Q39" s="204">
        <f t="shared" si="37"/>
        <v>47.275800000000004</v>
      </c>
      <c r="R39" s="204">
        <f>(R25*$E$39)</f>
        <v>36.366</v>
      </c>
      <c r="S39" s="204">
        <f>(S25*$E$39)</f>
        <v>24.585000000000001</v>
      </c>
      <c r="T39" s="194"/>
    </row>
    <row r="40" spans="1:20">
      <c r="A40" s="190" t="s">
        <v>945</v>
      </c>
      <c r="B40" s="597" t="s">
        <v>977</v>
      </c>
      <c r="C40" s="598"/>
      <c r="D40" s="611"/>
      <c r="E40" s="391">
        <f>MC!D22</f>
        <v>0.01</v>
      </c>
      <c r="F40" s="204">
        <f>(F25*$E$40)</f>
        <v>137.785</v>
      </c>
      <c r="G40" s="204">
        <f>(G25*$E$40)</f>
        <v>137.785</v>
      </c>
      <c r="H40" s="204">
        <f>(H25*$E$40)</f>
        <v>137.785</v>
      </c>
      <c r="I40" s="204">
        <f t="shared" ref="I40:J40" si="41">(I25*$E$40)</f>
        <v>37.163800000000002</v>
      </c>
      <c r="J40" s="204">
        <f t="shared" si="41"/>
        <v>30.378800000000002</v>
      </c>
      <c r="K40" s="204">
        <f t="shared" ref="K40:S40" si="42">(K25*$E$40)</f>
        <v>58.752200000000002</v>
      </c>
      <c r="L40" s="204">
        <f t="shared" ref="L40" si="43">(L25*$E$40)</f>
        <v>45.103100000000005</v>
      </c>
      <c r="M40" s="204">
        <f>(M25*$E$40)</f>
        <v>48.312939999999998</v>
      </c>
      <c r="N40" s="204">
        <f>(N25*$E$40)</f>
        <v>48.312939999999998</v>
      </c>
      <c r="O40" s="204">
        <f>(O25*$E$40)</f>
        <v>37.163800000000002</v>
      </c>
      <c r="P40" s="204">
        <f>(P25*$E$40)</f>
        <v>37.163800000000002</v>
      </c>
      <c r="Q40" s="204">
        <f t="shared" si="42"/>
        <v>31.517200000000003</v>
      </c>
      <c r="R40" s="204">
        <f t="shared" si="42"/>
        <v>24.244</v>
      </c>
      <c r="S40" s="204">
        <f t="shared" si="42"/>
        <v>16.39</v>
      </c>
      <c r="T40" s="194"/>
    </row>
    <row r="41" spans="1:20">
      <c r="A41" s="190" t="s">
        <v>962</v>
      </c>
      <c r="B41" s="597" t="s">
        <v>978</v>
      </c>
      <c r="C41" s="598"/>
      <c r="D41" s="611"/>
      <c r="E41" s="391">
        <f>MC!D23</f>
        <v>6.0000000000000001E-3</v>
      </c>
      <c r="F41" s="204">
        <f>(F25*$E$41)</f>
        <v>82.671000000000006</v>
      </c>
      <c r="G41" s="204">
        <f>(G25*$E$41)</f>
        <v>82.671000000000006</v>
      </c>
      <c r="H41" s="204">
        <f>(H25*$E$41)</f>
        <v>82.671000000000006</v>
      </c>
      <c r="I41" s="204">
        <f t="shared" ref="I41:J41" si="44">(I25*$E$41)</f>
        <v>22.298280000000002</v>
      </c>
      <c r="J41" s="204">
        <f t="shared" si="44"/>
        <v>18.22728</v>
      </c>
      <c r="K41" s="204">
        <f t="shared" ref="K41:R41" si="45">(K25*$E$41)</f>
        <v>35.25132</v>
      </c>
      <c r="L41" s="204">
        <f t="shared" ref="L41" si="46">(L25*$E$41)</f>
        <v>27.061860000000003</v>
      </c>
      <c r="M41" s="204">
        <f t="shared" si="45"/>
        <v>28.987763999999999</v>
      </c>
      <c r="N41" s="204">
        <f t="shared" ref="N41:O41" si="47">(N25*$E$41)</f>
        <v>28.987763999999999</v>
      </c>
      <c r="O41" s="204">
        <f t="shared" si="47"/>
        <v>22.298280000000002</v>
      </c>
      <c r="P41" s="204">
        <f t="shared" ref="P41" si="48">(P25*$E$41)</f>
        <v>22.298280000000002</v>
      </c>
      <c r="Q41" s="204">
        <f t="shared" si="45"/>
        <v>18.910320000000002</v>
      </c>
      <c r="R41" s="204">
        <f t="shared" si="45"/>
        <v>14.5464</v>
      </c>
      <c r="S41" s="204">
        <f>(S25*$E$41)</f>
        <v>9.8339999999999996</v>
      </c>
      <c r="T41" s="194"/>
    </row>
    <row r="42" spans="1:20">
      <c r="A42" s="190" t="s">
        <v>979</v>
      </c>
      <c r="B42" s="597" t="s">
        <v>980</v>
      </c>
      <c r="C42" s="598"/>
      <c r="D42" s="611"/>
      <c r="E42" s="391">
        <f>MC!D24</f>
        <v>2E-3</v>
      </c>
      <c r="F42" s="204">
        <f>(F25*$E$42)</f>
        <v>27.557000000000002</v>
      </c>
      <c r="G42" s="204">
        <f>(G25*$E$42)</f>
        <v>27.557000000000002</v>
      </c>
      <c r="H42" s="204">
        <f>(H25*$E$42)</f>
        <v>27.557000000000002</v>
      </c>
      <c r="I42" s="204">
        <f t="shared" ref="I42:J42" si="49">(I25*$E$42)</f>
        <v>7.43276</v>
      </c>
      <c r="J42" s="204">
        <f t="shared" si="49"/>
        <v>6.0757600000000007</v>
      </c>
      <c r="K42" s="204">
        <f t="shared" ref="K42:S42" si="50">(K25*$E$42)</f>
        <v>11.750440000000001</v>
      </c>
      <c r="L42" s="204">
        <f t="shared" ref="L42" si="51">(L25*$E$42)</f>
        <v>9.020620000000001</v>
      </c>
      <c r="M42" s="204">
        <f>(M25*$E$42)</f>
        <v>9.6625879999999995</v>
      </c>
      <c r="N42" s="204">
        <f>(N25*$E$42)</f>
        <v>9.6625879999999995</v>
      </c>
      <c r="O42" s="204">
        <f>(O25*$E$42)</f>
        <v>7.43276</v>
      </c>
      <c r="P42" s="204">
        <f>(P25*$E$42)</f>
        <v>7.43276</v>
      </c>
      <c r="Q42" s="204">
        <f t="shared" si="50"/>
        <v>6.303440000000001</v>
      </c>
      <c r="R42" s="204">
        <f t="shared" si="50"/>
        <v>4.8488000000000007</v>
      </c>
      <c r="S42" s="204">
        <f t="shared" si="50"/>
        <v>3.278</v>
      </c>
      <c r="T42" s="194"/>
    </row>
    <row r="43" spans="1:20">
      <c r="A43" s="190" t="s">
        <v>207</v>
      </c>
      <c r="B43" s="597" t="s">
        <v>981</v>
      </c>
      <c r="C43" s="598"/>
      <c r="D43" s="611"/>
      <c r="E43" s="391">
        <f>MC!D25</f>
        <v>0.08</v>
      </c>
      <c r="F43" s="204">
        <f>(F25*$E$43)</f>
        <v>1102.28</v>
      </c>
      <c r="G43" s="204">
        <f>(G25*$E$43)</f>
        <v>1102.28</v>
      </c>
      <c r="H43" s="204">
        <f>(H25*$E$43)</f>
        <v>1102.28</v>
      </c>
      <c r="I43" s="204">
        <f t="shared" ref="I43:J43" si="52">(I25*$E$43)</f>
        <v>297.31040000000002</v>
      </c>
      <c r="J43" s="204">
        <f t="shared" si="52"/>
        <v>243.03040000000001</v>
      </c>
      <c r="K43" s="204">
        <f t="shared" ref="K43:S43" si="53">(K25*$E$43)</f>
        <v>470.01760000000002</v>
      </c>
      <c r="L43" s="204">
        <f t="shared" ref="L43" si="54">(L25*$E$43)</f>
        <v>360.82480000000004</v>
      </c>
      <c r="M43" s="204">
        <f t="shared" si="53"/>
        <v>386.50351999999998</v>
      </c>
      <c r="N43" s="204">
        <f t="shared" ref="N43:O43" si="55">(N25*$E$43)</f>
        <v>386.50351999999998</v>
      </c>
      <c r="O43" s="204">
        <f t="shared" si="55"/>
        <v>297.31040000000002</v>
      </c>
      <c r="P43" s="204">
        <f t="shared" ref="P43" si="56">(P25*$E$43)</f>
        <v>297.31040000000002</v>
      </c>
      <c r="Q43" s="204">
        <f>(Q25*$E$43)</f>
        <v>252.13760000000002</v>
      </c>
      <c r="R43" s="204">
        <f t="shared" si="53"/>
        <v>193.952</v>
      </c>
      <c r="S43" s="204">
        <f t="shared" si="53"/>
        <v>131.12</v>
      </c>
      <c r="T43" s="194"/>
    </row>
    <row r="44" spans="1:20">
      <c r="A44" s="188" t="s">
        <v>930</v>
      </c>
      <c r="B44" s="597" t="s">
        <v>1209</v>
      </c>
      <c r="C44" s="598"/>
      <c r="D44" s="611"/>
      <c r="E44" s="391">
        <f>MC!D26</f>
        <v>0.01</v>
      </c>
      <c r="F44" s="204">
        <f>(F$25*$E$44)</f>
        <v>137.785</v>
      </c>
      <c r="G44" s="204">
        <f t="shared" ref="G44" si="57">(G$25*$E$44)</f>
        <v>137.785</v>
      </c>
      <c r="H44" s="204">
        <f>(H$25*$E$44)</f>
        <v>137.785</v>
      </c>
      <c r="I44" s="204">
        <f t="shared" ref="I44:S44" si="58">(I$25*$E$44)</f>
        <v>37.163800000000002</v>
      </c>
      <c r="J44" s="204">
        <f t="shared" si="58"/>
        <v>30.378800000000002</v>
      </c>
      <c r="K44" s="204">
        <f t="shared" si="58"/>
        <v>58.752200000000002</v>
      </c>
      <c r="L44" s="204">
        <f t="shared" si="58"/>
        <v>45.103100000000005</v>
      </c>
      <c r="M44" s="204">
        <f t="shared" si="58"/>
        <v>48.312939999999998</v>
      </c>
      <c r="N44" s="204">
        <f t="shared" si="58"/>
        <v>48.312939999999998</v>
      </c>
      <c r="O44" s="204">
        <f t="shared" si="58"/>
        <v>37.163800000000002</v>
      </c>
      <c r="P44" s="204">
        <f t="shared" si="58"/>
        <v>37.163800000000002</v>
      </c>
      <c r="Q44" s="204">
        <f t="shared" si="58"/>
        <v>31.517200000000003</v>
      </c>
      <c r="R44" s="204">
        <f t="shared" si="58"/>
        <v>24.244</v>
      </c>
      <c r="S44" s="204">
        <f t="shared" si="58"/>
        <v>16.39</v>
      </c>
      <c r="T44" s="194"/>
    </row>
    <row r="45" spans="1:20" ht="16.5" thickBot="1">
      <c r="A45" s="191"/>
      <c r="B45" s="602" t="s">
        <v>982</v>
      </c>
      <c r="C45" s="603"/>
      <c r="D45" s="604"/>
      <c r="E45" s="211">
        <f>SUM(E36:E44)</f>
        <v>0.40800000000000008</v>
      </c>
      <c r="F45" s="207">
        <f>SUM(F36:F44)</f>
        <v>5621.6279999999997</v>
      </c>
      <c r="G45" s="207">
        <f t="shared" ref="G45:S45" si="59">SUM(G36:G44)</f>
        <v>5621.6279999999997</v>
      </c>
      <c r="H45" s="207">
        <f t="shared" si="59"/>
        <v>5621.6279999999997</v>
      </c>
      <c r="I45" s="207">
        <f t="shared" si="59"/>
        <v>1516.28304</v>
      </c>
      <c r="J45" s="207">
        <f t="shared" si="59"/>
        <v>1239.4550399999998</v>
      </c>
      <c r="K45" s="207">
        <f t="shared" si="59"/>
        <v>2397.0897599999998</v>
      </c>
      <c r="L45" s="207">
        <f t="shared" si="59"/>
        <v>1840.2064800000003</v>
      </c>
      <c r="M45" s="207">
        <f t="shared" si="59"/>
        <v>1971.1679519999998</v>
      </c>
      <c r="N45" s="207">
        <f t="shared" si="59"/>
        <v>1971.1679519999998</v>
      </c>
      <c r="O45" s="207">
        <f t="shared" si="59"/>
        <v>1516.28304</v>
      </c>
      <c r="P45" s="207">
        <f t="shared" si="59"/>
        <v>1516.28304</v>
      </c>
      <c r="Q45" s="207">
        <f t="shared" si="59"/>
        <v>1285.90176</v>
      </c>
      <c r="R45" s="207">
        <f>SUM(R36:R44)</f>
        <v>989.15519999999992</v>
      </c>
      <c r="S45" s="207">
        <f t="shared" si="59"/>
        <v>668.71199999999999</v>
      </c>
      <c r="T45" s="208"/>
    </row>
    <row r="46" spans="1:20" ht="4.5" customHeight="1" thickBot="1">
      <c r="A46" s="212"/>
      <c r="C46" s="178"/>
      <c r="D46" s="178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</row>
    <row r="47" spans="1:20" ht="16.5" thickBot="1">
      <c r="A47" s="201" t="s">
        <v>90</v>
      </c>
      <c r="B47" s="618" t="s">
        <v>983</v>
      </c>
      <c r="C47" s="619"/>
      <c r="D47" s="620"/>
      <c r="E47" s="202" t="s">
        <v>967</v>
      </c>
      <c r="F47" s="203" t="s">
        <v>956</v>
      </c>
      <c r="G47" s="203" t="s">
        <v>956</v>
      </c>
      <c r="H47" s="203" t="s">
        <v>956</v>
      </c>
      <c r="I47" s="203" t="s">
        <v>956</v>
      </c>
      <c r="J47" s="203" t="s">
        <v>956</v>
      </c>
      <c r="K47" s="203" t="s">
        <v>956</v>
      </c>
      <c r="L47" s="203" t="s">
        <v>956</v>
      </c>
      <c r="M47" s="203" t="s">
        <v>956</v>
      </c>
      <c r="N47" s="203" t="s">
        <v>956</v>
      </c>
      <c r="O47" s="203" t="s">
        <v>956</v>
      </c>
      <c r="P47" s="203" t="s">
        <v>956</v>
      </c>
      <c r="Q47" s="203" t="s">
        <v>956</v>
      </c>
      <c r="R47" s="203" t="s">
        <v>956</v>
      </c>
      <c r="S47" s="203" t="s">
        <v>956</v>
      </c>
      <c r="T47" s="194"/>
    </row>
    <row r="48" spans="1:20">
      <c r="A48" s="186" t="s">
        <v>937</v>
      </c>
      <c r="B48" s="612" t="s">
        <v>984</v>
      </c>
      <c r="C48" s="613"/>
      <c r="D48" s="621"/>
      <c r="E48" s="174"/>
      <c r="F48" s="204">
        <f>MC!C31</f>
        <v>396</v>
      </c>
      <c r="G48" s="204">
        <f>MC!C31</f>
        <v>396</v>
      </c>
      <c r="H48" s="204">
        <f>MC!C31</f>
        <v>396</v>
      </c>
      <c r="I48" s="204">
        <f>(MC!C32)-(0.06*I19)</f>
        <v>154.65719999999999</v>
      </c>
      <c r="J48" s="204">
        <f>(MC!C32)-(0.06*J19)</f>
        <v>195.3672</v>
      </c>
      <c r="K48" s="204">
        <f>(MC!C32)-(0.06*K19)</f>
        <v>25.126800000000003</v>
      </c>
      <c r="L48" s="204">
        <f>(MC!C32)-(0.06*L19)</f>
        <v>107.02139999999997</v>
      </c>
      <c r="M48" s="204">
        <f>(MC!C32)-(0.06*M19)</f>
        <v>154.65719999999999</v>
      </c>
      <c r="N48" s="204">
        <f>(MC!C32)-(0.06*N19)</f>
        <v>154.65719999999999</v>
      </c>
      <c r="O48" s="204">
        <f>(MC!C32)-(0.06*O19)</f>
        <v>154.65719999999999</v>
      </c>
      <c r="P48" s="204">
        <f>(MC!C32)-(0.06*P19)</f>
        <v>154.65719999999999</v>
      </c>
      <c r="Q48" s="204">
        <f>(MC!C32)-(0.06*Q19)</f>
        <v>232.17599999999999</v>
      </c>
      <c r="R48" s="204">
        <f>(MC!C32)-(0.06*R19)</f>
        <v>232.17599999999999</v>
      </c>
      <c r="S48" s="204">
        <f>(MC!C32)-(0.06*S19)</f>
        <v>279.29999999999995</v>
      </c>
      <c r="T48" s="194"/>
    </row>
    <row r="49" spans="1:20">
      <c r="A49" s="188" t="s">
        <v>939</v>
      </c>
      <c r="B49" s="597" t="s">
        <v>985</v>
      </c>
      <c r="C49" s="598"/>
      <c r="D49" s="599"/>
      <c r="E49" s="174"/>
      <c r="F49" s="204">
        <f>(MC!C35)*0.8*MC!D48</f>
        <v>671.36</v>
      </c>
      <c r="G49" s="204">
        <f>(MC!C35)*0.8*MC!D48</f>
        <v>671.36</v>
      </c>
      <c r="H49" s="204">
        <f>(MC!C35)*0.8*MC!D48</f>
        <v>671.36</v>
      </c>
      <c r="I49" s="204">
        <f>MC!C36*MC!D48</f>
        <v>973.05240000000003</v>
      </c>
      <c r="J49" s="204">
        <f>(MC!C35)*0.8*MC!D48</f>
        <v>671.36</v>
      </c>
      <c r="K49" s="204">
        <f>MC!C36*MC!D48</f>
        <v>973.05240000000003</v>
      </c>
      <c r="L49" s="204">
        <f>MC!C36*MC!D48</f>
        <v>973.05240000000003</v>
      </c>
      <c r="M49" s="204">
        <f>MC!C36*MC!D48</f>
        <v>973.05240000000003</v>
      </c>
      <c r="N49" s="204">
        <f>MC!C36*MC!D48</f>
        <v>973.05240000000003</v>
      </c>
      <c r="O49" s="204">
        <f>MC!C36*MC!D48</f>
        <v>973.05240000000003</v>
      </c>
      <c r="P49" s="204">
        <f>MC!C36*MC!D48</f>
        <v>973.05240000000003</v>
      </c>
      <c r="Q49" s="204">
        <f>MC!C37*MC!D48</f>
        <v>649.75059999999996</v>
      </c>
      <c r="R49" s="204">
        <f>MC!C37*MC!D48</f>
        <v>649.75059999999996</v>
      </c>
      <c r="S49" s="204">
        <f>MC!C37*MC!D48</f>
        <v>649.75059999999996</v>
      </c>
      <c r="T49" s="194"/>
    </row>
    <row r="50" spans="1:20">
      <c r="A50" s="190" t="s">
        <v>942</v>
      </c>
      <c r="B50" s="597" t="s">
        <v>986</v>
      </c>
      <c r="C50" s="598"/>
      <c r="D50" s="599"/>
      <c r="E50" s="174"/>
      <c r="F50" s="204">
        <f>MC!C43</f>
        <v>6.5870833333333341</v>
      </c>
      <c r="G50" s="204">
        <f>MC!C43</f>
        <v>6.5870833333333341</v>
      </c>
      <c r="H50" s="204">
        <f>MC!C43</f>
        <v>6.5870833333333341</v>
      </c>
      <c r="I50" s="204">
        <f>MC!$C$44</f>
        <v>3.78</v>
      </c>
      <c r="J50" s="204">
        <f>MC!$C$45</f>
        <v>8.9166666666666661</v>
      </c>
      <c r="K50" s="204">
        <f>MC!$C$44</f>
        <v>3.78</v>
      </c>
      <c r="L50" s="204">
        <f>MC!$C$44</f>
        <v>3.78</v>
      </c>
      <c r="M50" s="204">
        <f>MC!$C$44</f>
        <v>3.78</v>
      </c>
      <c r="N50" s="204">
        <f>MC!$C$44</f>
        <v>3.78</v>
      </c>
      <c r="O50" s="204">
        <f>MC!$C$44</f>
        <v>3.78</v>
      </c>
      <c r="P50" s="204">
        <f>MC!$C$44</f>
        <v>3.78</v>
      </c>
      <c r="Q50" s="204">
        <f>MC!$C$45</f>
        <v>8.9166666666666661</v>
      </c>
      <c r="R50" s="204">
        <f>MC!$C$45</f>
        <v>8.9166666666666661</v>
      </c>
      <c r="S50" s="204">
        <f>R50</f>
        <v>8.9166666666666661</v>
      </c>
      <c r="T50" s="194"/>
    </row>
    <row r="51" spans="1:20">
      <c r="A51" s="188" t="s">
        <v>944</v>
      </c>
      <c r="B51" s="597" t="s">
        <v>1792</v>
      </c>
      <c r="C51" s="598"/>
      <c r="D51" s="599"/>
      <c r="E51" s="175"/>
      <c r="F51" s="205"/>
      <c r="G51" s="205"/>
      <c r="H51" s="205"/>
      <c r="I51" s="205">
        <v>209.4</v>
      </c>
      <c r="J51" s="205"/>
      <c r="K51" s="205">
        <v>209.4</v>
      </c>
      <c r="L51" s="205">
        <v>209.4</v>
      </c>
      <c r="M51" s="205">
        <v>209.4</v>
      </c>
      <c r="N51" s="205">
        <v>209.4</v>
      </c>
      <c r="O51" s="205">
        <v>209.4</v>
      </c>
      <c r="P51" s="205">
        <v>209.4</v>
      </c>
      <c r="Q51" s="829"/>
      <c r="R51" s="829"/>
      <c r="S51" s="829"/>
      <c r="T51" s="194"/>
    </row>
    <row r="52" spans="1:20">
      <c r="A52" s="188"/>
      <c r="B52" s="597" t="s">
        <v>1794</v>
      </c>
      <c r="C52" s="598"/>
      <c r="D52" s="599"/>
      <c r="E52" s="830"/>
      <c r="F52" s="832"/>
      <c r="G52" s="832"/>
      <c r="H52" s="832"/>
      <c r="I52" s="832">
        <v>25</v>
      </c>
      <c r="J52" s="832"/>
      <c r="K52" s="832">
        <v>25</v>
      </c>
      <c r="L52" s="832">
        <v>25</v>
      </c>
      <c r="M52" s="832">
        <v>25</v>
      </c>
      <c r="N52" s="832">
        <v>25</v>
      </c>
      <c r="O52" s="832">
        <v>25</v>
      </c>
      <c r="P52" s="832">
        <v>25</v>
      </c>
      <c r="Q52" s="833"/>
      <c r="R52" s="833"/>
      <c r="S52" s="833"/>
      <c r="T52" s="194"/>
    </row>
    <row r="53" spans="1:20" ht="16.5" thickBot="1">
      <c r="A53" s="191"/>
      <c r="B53" s="602" t="s">
        <v>987</v>
      </c>
      <c r="C53" s="603"/>
      <c r="D53" s="604"/>
      <c r="E53" s="206"/>
      <c r="F53" s="831">
        <f>SUM(F48:F51)</f>
        <v>1073.9470833333335</v>
      </c>
      <c r="G53" s="831">
        <f>SUM(G48:G51)</f>
        <v>1073.9470833333335</v>
      </c>
      <c r="H53" s="831">
        <f>SUM(H48:H51)</f>
        <v>1073.9470833333335</v>
      </c>
      <c r="I53" s="831">
        <f>SUM(I48:I52)</f>
        <v>1365.8896000000002</v>
      </c>
      <c r="J53" s="831">
        <f t="shared" ref="J53:S53" si="60">SUM(J48:J52)</f>
        <v>875.64386666666667</v>
      </c>
      <c r="K53" s="831">
        <f>SUM(K48:K52)</f>
        <v>1236.3592000000001</v>
      </c>
      <c r="L53" s="831">
        <f t="shared" si="60"/>
        <v>1318.2538000000002</v>
      </c>
      <c r="M53" s="831">
        <f t="shared" si="60"/>
        <v>1365.8896000000002</v>
      </c>
      <c r="N53" s="831">
        <f t="shared" si="60"/>
        <v>1365.8896000000002</v>
      </c>
      <c r="O53" s="831">
        <f t="shared" si="60"/>
        <v>1365.8896000000002</v>
      </c>
      <c r="P53" s="831">
        <f t="shared" si="60"/>
        <v>1365.8896000000002</v>
      </c>
      <c r="Q53" s="831">
        <f t="shared" si="60"/>
        <v>890.84326666666664</v>
      </c>
      <c r="R53" s="831">
        <f t="shared" si="60"/>
        <v>890.84326666666664</v>
      </c>
      <c r="S53" s="831">
        <f t="shared" si="60"/>
        <v>937.96726666666655</v>
      </c>
      <c r="T53" s="208"/>
    </row>
    <row r="54" spans="1:20" ht="3.75" customHeight="1" thickBot="1">
      <c r="A54" s="212"/>
      <c r="C54" s="178"/>
      <c r="D54" s="178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</row>
    <row r="55" spans="1:20" ht="19.5" customHeight="1" thickBot="1">
      <c r="A55" s="213"/>
      <c r="B55" s="605" t="s">
        <v>988</v>
      </c>
      <c r="C55" s="606"/>
      <c r="D55" s="607"/>
      <c r="E55" s="214"/>
      <c r="F55" s="215">
        <f>F53+F45+F33</f>
        <v>8851.1448611111118</v>
      </c>
      <c r="G55" s="215">
        <f>G53+G45+G33</f>
        <v>8851.1448611111118</v>
      </c>
      <c r="H55" s="215">
        <f>H53+H45+H33</f>
        <v>8851.1448611111118</v>
      </c>
      <c r="I55" s="215">
        <f>I53+I45+I33</f>
        <v>3463.5796444444445</v>
      </c>
      <c r="J55" s="215">
        <f>J53+J45+J33</f>
        <v>2590.3583555555556</v>
      </c>
      <c r="K55" s="215">
        <f>K53+K45+K33</f>
        <v>4552.5944888888889</v>
      </c>
      <c r="L55" s="215">
        <f>L53+L45+L33</f>
        <v>3864.0732222222223</v>
      </c>
      <c r="M55" s="215">
        <f>M53+M45+M33</f>
        <v>4092.8866577777781</v>
      </c>
      <c r="N55" s="215">
        <f>N53+N45+N33</f>
        <v>4092.8866577777781</v>
      </c>
      <c r="O55" s="215">
        <f>O53+O45+O33</f>
        <v>3463.5796444444445</v>
      </c>
      <c r="P55" s="215">
        <f>P53+P45+P33</f>
        <v>3463.5796444444445</v>
      </c>
      <c r="Q55" s="215">
        <f>Q53+Q45+Q33</f>
        <v>2669.8141111111108</v>
      </c>
      <c r="R55" s="215">
        <f>R53+R45+R33</f>
        <v>2259.2823777777776</v>
      </c>
      <c r="S55" s="215">
        <f>S53+S45+S33</f>
        <v>1863.091711111111</v>
      </c>
      <c r="T55" s="216"/>
    </row>
    <row r="56" spans="1:20" ht="3.75" customHeight="1">
      <c r="A56" s="212"/>
      <c r="C56" s="178"/>
      <c r="D56" s="178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</row>
    <row r="57" spans="1:20" ht="4.5" customHeight="1" thickBot="1">
      <c r="A57" s="199"/>
      <c r="B57" s="200"/>
      <c r="C57" s="200"/>
      <c r="D57" s="200"/>
      <c r="E57" s="217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</row>
    <row r="58" spans="1:20" ht="16.5" thickBot="1">
      <c r="A58" s="218">
        <v>3</v>
      </c>
      <c r="B58" s="646" t="s">
        <v>989</v>
      </c>
      <c r="C58" s="647"/>
      <c r="D58" s="648"/>
      <c r="E58" s="219" t="s">
        <v>967</v>
      </c>
      <c r="F58" s="369" t="s">
        <v>956</v>
      </c>
      <c r="G58" s="369" t="s">
        <v>956</v>
      </c>
      <c r="H58" s="369" t="s">
        <v>956</v>
      </c>
      <c r="I58" s="370" t="s">
        <v>956</v>
      </c>
      <c r="J58" s="370" t="s">
        <v>956</v>
      </c>
      <c r="K58" s="370" t="s">
        <v>956</v>
      </c>
      <c r="L58" s="370" t="s">
        <v>956</v>
      </c>
      <c r="M58" s="370" t="s">
        <v>956</v>
      </c>
      <c r="N58" s="370" t="s">
        <v>956</v>
      </c>
      <c r="O58" s="370" t="s">
        <v>956</v>
      </c>
      <c r="P58" s="370" t="s">
        <v>956</v>
      </c>
      <c r="Q58" s="370" t="s">
        <v>956</v>
      </c>
      <c r="R58" s="370" t="s">
        <v>956</v>
      </c>
      <c r="S58" s="370" t="s">
        <v>956</v>
      </c>
      <c r="T58" s="194"/>
    </row>
    <row r="59" spans="1:20">
      <c r="A59" s="220" t="s">
        <v>937</v>
      </c>
      <c r="B59" s="643" t="s">
        <v>990</v>
      </c>
      <c r="C59" s="644"/>
      <c r="D59" s="645"/>
      <c r="E59" s="393">
        <f>((1/30)*7)/12</f>
        <v>1.9444444444444445E-2</v>
      </c>
      <c r="F59" s="375">
        <f>$E$59*F25</f>
        <v>267.91527777777776</v>
      </c>
      <c r="G59" s="376">
        <f>$E$59*G25</f>
        <v>267.91527777777776</v>
      </c>
      <c r="H59" s="376">
        <f>$E$59*H25</f>
        <v>267.91527777777776</v>
      </c>
      <c r="I59" s="376">
        <f>$E$59*I25</f>
        <v>72.262944444444443</v>
      </c>
      <c r="J59" s="376">
        <f>$E$59*J25</f>
        <v>59.06988888888889</v>
      </c>
      <c r="K59" s="376">
        <f>$E$59*K25</f>
        <v>114.2403888888889</v>
      </c>
      <c r="L59" s="376">
        <f>$E$59*L25</f>
        <v>87.700472222222231</v>
      </c>
      <c r="M59" s="376">
        <f>$E$59*M25</f>
        <v>93.941827777777775</v>
      </c>
      <c r="N59" s="376">
        <f>$E$59*N25</f>
        <v>93.941827777777775</v>
      </c>
      <c r="O59" s="376">
        <f>$E$59*O25</f>
        <v>72.262944444444443</v>
      </c>
      <c r="P59" s="376">
        <f>$E$59*P25</f>
        <v>72.262944444444443</v>
      </c>
      <c r="Q59" s="376">
        <f>$E$59*Q25</f>
        <v>61.283444444444449</v>
      </c>
      <c r="R59" s="376">
        <f>$E$59*R25</f>
        <v>47.141111111111115</v>
      </c>
      <c r="S59" s="377">
        <f>$E$59*S25</f>
        <v>31.869444444444444</v>
      </c>
      <c r="T59" s="194"/>
    </row>
    <row r="60" spans="1:20">
      <c r="A60" s="221" t="s">
        <v>939</v>
      </c>
      <c r="B60" s="600" t="s">
        <v>991</v>
      </c>
      <c r="C60" s="589"/>
      <c r="D60" s="601"/>
      <c r="E60" s="394">
        <f>E45</f>
        <v>0.40800000000000008</v>
      </c>
      <c r="F60" s="378">
        <f>$E$60*F59</f>
        <v>109.30943333333335</v>
      </c>
      <c r="G60" s="374">
        <f>$E$60*G59</f>
        <v>109.30943333333335</v>
      </c>
      <c r="H60" s="374">
        <f>$E$60*H59</f>
        <v>109.30943333333335</v>
      </c>
      <c r="I60" s="374">
        <f t="shared" ref="I60:J60" si="61">$E$60*I59</f>
        <v>29.483281333333338</v>
      </c>
      <c r="J60" s="374">
        <f t="shared" si="61"/>
        <v>24.100514666666673</v>
      </c>
      <c r="K60" s="374">
        <f t="shared" ref="K60:S60" si="62">$E$60*K59</f>
        <v>46.610078666666681</v>
      </c>
      <c r="L60" s="374">
        <f t="shared" ref="L60" si="63">$E$60*L59</f>
        <v>35.781792666666675</v>
      </c>
      <c r="M60" s="374">
        <f t="shared" si="62"/>
        <v>38.328265733333339</v>
      </c>
      <c r="N60" s="374">
        <f t="shared" ref="N60:O60" si="64">$E$60*N59</f>
        <v>38.328265733333339</v>
      </c>
      <c r="O60" s="374">
        <f t="shared" si="64"/>
        <v>29.483281333333338</v>
      </c>
      <c r="P60" s="374">
        <f t="shared" ref="P60" si="65">$E$60*P59</f>
        <v>29.483281333333338</v>
      </c>
      <c r="Q60" s="374">
        <f t="shared" si="62"/>
        <v>25.003645333333342</v>
      </c>
      <c r="R60" s="374">
        <f t="shared" si="62"/>
        <v>19.233573333333339</v>
      </c>
      <c r="S60" s="379">
        <f t="shared" si="62"/>
        <v>13.002733333333335</v>
      </c>
      <c r="T60" s="194"/>
    </row>
    <row r="61" spans="1:20">
      <c r="A61" s="221" t="s">
        <v>942</v>
      </c>
      <c r="B61" s="600" t="s">
        <v>1035</v>
      </c>
      <c r="C61" s="589"/>
      <c r="D61" s="601"/>
      <c r="E61" s="394"/>
      <c r="F61" s="378">
        <f>(F25+F30+F31)*0.08*0.4</f>
        <v>489.90222222222229</v>
      </c>
      <c r="G61" s="374">
        <f>(G25+G30+G31)*0.08*0.4</f>
        <v>489.90222222222229</v>
      </c>
      <c r="H61" s="374">
        <f>(H25+H30+H31)*0.08*0.4</f>
        <v>489.90222222222229</v>
      </c>
      <c r="I61" s="374">
        <f>(I25+I30+I31)*0.08*0.4</f>
        <v>132.13795555555555</v>
      </c>
      <c r="J61" s="374">
        <f>(J25+J30+J31)*0.08*0.4</f>
        <v>108.01351111111113</v>
      </c>
      <c r="K61" s="374">
        <f>(K25+K30+K31)*0.08*0.4</f>
        <v>208.89671111111113</v>
      </c>
      <c r="L61" s="374">
        <f>(L25+L30+L31)*0.08*0.4</f>
        <v>160.36657777777782</v>
      </c>
      <c r="M61" s="374">
        <f>(M25+M30+M31)*0.08*0.4</f>
        <v>171.77934222222223</v>
      </c>
      <c r="N61" s="374">
        <f>(N25+N30+N31)*0.08*0.4</f>
        <v>171.77934222222223</v>
      </c>
      <c r="O61" s="374">
        <f>(O25+O30+O31)*0.08*0.4</f>
        <v>132.13795555555555</v>
      </c>
      <c r="P61" s="374">
        <f>(P25+P30+P31)*0.08*0.4</f>
        <v>132.13795555555555</v>
      </c>
      <c r="Q61" s="374">
        <f>(Q25+Q30+Q31)*0.08*0.4</f>
        <v>112.06115555555557</v>
      </c>
      <c r="R61" s="374">
        <f>(R25+R30+R31)*0.08*0.4</f>
        <v>86.200888888888898</v>
      </c>
      <c r="S61" s="379">
        <f>(S25+S30+S31)*0.08*0.4</f>
        <v>58.275555555555563</v>
      </c>
      <c r="T61" s="194"/>
    </row>
    <row r="62" spans="1:20">
      <c r="A62" s="221" t="s">
        <v>944</v>
      </c>
      <c r="B62" s="600" t="s">
        <v>993</v>
      </c>
      <c r="C62" s="589"/>
      <c r="D62" s="601"/>
      <c r="E62" s="394">
        <f>((1/12)*0.1)</f>
        <v>8.3333333333333332E-3</v>
      </c>
      <c r="F62" s="378">
        <f>$E$62*F25</f>
        <v>114.82083333333333</v>
      </c>
      <c r="G62" s="374">
        <f>$E$62*G25</f>
        <v>114.82083333333333</v>
      </c>
      <c r="H62" s="374">
        <f>$E$62*H25</f>
        <v>114.82083333333333</v>
      </c>
      <c r="I62" s="374">
        <f>$E$62*I25</f>
        <v>30.969833333333334</v>
      </c>
      <c r="J62" s="374">
        <f>$E$62*J25</f>
        <v>25.315666666666669</v>
      </c>
      <c r="K62" s="374">
        <f>$E$62*K25</f>
        <v>48.960166666666666</v>
      </c>
      <c r="L62" s="374">
        <f>$E$62*L25</f>
        <v>37.58591666666667</v>
      </c>
      <c r="M62" s="374">
        <f>$E$62*M25</f>
        <v>40.260783333333329</v>
      </c>
      <c r="N62" s="374">
        <f>$E$62*N25</f>
        <v>40.260783333333329</v>
      </c>
      <c r="O62" s="374">
        <f>$E$62*O25</f>
        <v>30.969833333333334</v>
      </c>
      <c r="P62" s="374">
        <f>$E$62*P25</f>
        <v>30.969833333333334</v>
      </c>
      <c r="Q62" s="374">
        <f>$E$62*Q25</f>
        <v>26.264333333333337</v>
      </c>
      <c r="R62" s="374">
        <f>$E$62*R25</f>
        <v>20.203333333333333</v>
      </c>
      <c r="S62" s="379">
        <f>$E$62*S25</f>
        <v>13.658333333333333</v>
      </c>
      <c r="T62" s="194"/>
    </row>
    <row r="63" spans="1:20">
      <c r="A63" s="221" t="s">
        <v>945</v>
      </c>
      <c r="B63" s="600" t="s">
        <v>994</v>
      </c>
      <c r="C63" s="589"/>
      <c r="D63" s="601"/>
      <c r="E63" s="394">
        <v>0.08</v>
      </c>
      <c r="F63" s="378">
        <f>$E$63*F62</f>
        <v>9.1856666666666662</v>
      </c>
      <c r="G63" s="374">
        <f>$E$63*G62</f>
        <v>9.1856666666666662</v>
      </c>
      <c r="H63" s="374">
        <f>$E$63*H62</f>
        <v>9.1856666666666662</v>
      </c>
      <c r="I63" s="374">
        <f t="shared" ref="I63:J63" si="66">$E$63*I62</f>
        <v>2.4775866666666668</v>
      </c>
      <c r="J63" s="374">
        <f t="shared" si="66"/>
        <v>2.0252533333333336</v>
      </c>
      <c r="K63" s="374">
        <f t="shared" ref="K63:S63" si="67">$E$63*K62</f>
        <v>3.9168133333333333</v>
      </c>
      <c r="L63" s="374">
        <f t="shared" ref="L63" si="68">$E$63*L62</f>
        <v>3.0068733333333335</v>
      </c>
      <c r="M63" s="374">
        <f t="shared" si="67"/>
        <v>3.2208626666666662</v>
      </c>
      <c r="N63" s="374">
        <f t="shared" ref="N63:O63" si="69">$E$63*N62</f>
        <v>3.2208626666666662</v>
      </c>
      <c r="O63" s="374">
        <f t="shared" si="69"/>
        <v>2.4775866666666668</v>
      </c>
      <c r="P63" s="374">
        <f t="shared" ref="P63" si="70">$E$63*P62</f>
        <v>2.4775866666666668</v>
      </c>
      <c r="Q63" s="374">
        <f t="shared" si="67"/>
        <v>2.1011466666666672</v>
      </c>
      <c r="R63" s="374">
        <f t="shared" si="67"/>
        <v>1.6162666666666667</v>
      </c>
      <c r="S63" s="379">
        <f t="shared" si="67"/>
        <v>1.0926666666666667</v>
      </c>
      <c r="T63" s="194"/>
    </row>
    <row r="64" spans="1:20" ht="16.5" thickBot="1">
      <c r="A64" s="222" t="s">
        <v>962</v>
      </c>
      <c r="B64" s="600" t="s">
        <v>1034</v>
      </c>
      <c r="C64" s="589"/>
      <c r="D64" s="601"/>
      <c r="E64" s="368"/>
      <c r="F64" s="380">
        <f>(F25+F30+F31)*0.08*0.4*0.1</f>
        <v>48.990222222222229</v>
      </c>
      <c r="G64" s="381">
        <f>(G25+G30+G31)*0.08*0.4*0.1</f>
        <v>48.990222222222229</v>
      </c>
      <c r="H64" s="381">
        <f>(H25+H30+H31)*0.08*0.4*0.1</f>
        <v>48.990222222222229</v>
      </c>
      <c r="I64" s="381">
        <f>(I25+I30+I31)*0.08*0.4*0.1</f>
        <v>13.213795555555556</v>
      </c>
      <c r="J64" s="381">
        <f>(J25+J30+J31)*0.08*0.4*0.1</f>
        <v>10.801351111111114</v>
      </c>
      <c r="K64" s="381">
        <f>(K25+K30+K31)*0.08*0.4*0.1</f>
        <v>20.889671111111113</v>
      </c>
      <c r="L64" s="381">
        <f>(L25+L30+L31)*0.08*0.4*0.1</f>
        <v>16.036657777777783</v>
      </c>
      <c r="M64" s="381">
        <f>(M25+M30+M31)*0.08*0.4*0.1</f>
        <v>17.177934222222223</v>
      </c>
      <c r="N64" s="381">
        <f>(N25+N30+N31)*0.08*0.4*0.1</f>
        <v>17.177934222222223</v>
      </c>
      <c r="O64" s="381">
        <f>(O25+O30+O31)*0.08*0.4*0.1</f>
        <v>13.213795555555556</v>
      </c>
      <c r="P64" s="381">
        <f>(P25+P30+P31)*0.08*0.4*0.1</f>
        <v>13.213795555555556</v>
      </c>
      <c r="Q64" s="381">
        <f>(Q25+Q30+Q31)*0.08*0.4*0.1</f>
        <v>11.206115555555558</v>
      </c>
      <c r="R64" s="381">
        <f>(R25+R30+R31)*0.08*0.4*0.1</f>
        <v>8.6200888888888905</v>
      </c>
      <c r="S64" s="382">
        <f>(S25+S30+S31)*0.08*0.4*0.1</f>
        <v>5.8275555555555565</v>
      </c>
      <c r="T64" s="194"/>
    </row>
    <row r="65" spans="1:20" ht="16.5" thickBot="1">
      <c r="A65" s="223"/>
      <c r="B65" s="608" t="s">
        <v>995</v>
      </c>
      <c r="C65" s="609"/>
      <c r="D65" s="610"/>
      <c r="E65" s="224"/>
      <c r="F65" s="371">
        <f t="shared" ref="F65:S65" si="71">SUM(F59:F64)</f>
        <v>1040.1236555555556</v>
      </c>
      <c r="G65" s="371">
        <f t="shared" ref="G65:I65" si="72">SUM(G59:G64)</f>
        <v>1040.1236555555556</v>
      </c>
      <c r="H65" s="371">
        <f t="shared" si="72"/>
        <v>1040.1236555555556</v>
      </c>
      <c r="I65" s="372">
        <f t="shared" si="72"/>
        <v>280.54539688888889</v>
      </c>
      <c r="J65" s="372">
        <f t="shared" ref="J65" si="73">SUM(J59:J64)</f>
        <v>229.32618577777777</v>
      </c>
      <c r="K65" s="372">
        <f t="shared" si="71"/>
        <v>443.51382977777786</v>
      </c>
      <c r="L65" s="372">
        <f t="shared" ref="L65" si="74">SUM(L59:L64)</f>
        <v>340.4782904444445</v>
      </c>
      <c r="M65" s="373">
        <f t="shared" si="71"/>
        <v>364.70901595555557</v>
      </c>
      <c r="N65" s="373">
        <f t="shared" ref="N65:O65" si="75">SUM(N59:N64)</f>
        <v>364.70901595555557</v>
      </c>
      <c r="O65" s="373">
        <f t="shared" si="75"/>
        <v>280.54539688888889</v>
      </c>
      <c r="P65" s="373">
        <f t="shared" ref="P65" si="76">SUM(P59:P64)</f>
        <v>280.54539688888889</v>
      </c>
      <c r="Q65" s="372">
        <f t="shared" si="71"/>
        <v>237.9198408888889</v>
      </c>
      <c r="R65" s="372">
        <f t="shared" si="71"/>
        <v>183.01526222222222</v>
      </c>
      <c r="S65" s="372">
        <f t="shared" si="71"/>
        <v>123.72628888888892</v>
      </c>
      <c r="T65" s="208"/>
    </row>
    <row r="66" spans="1:20" ht="5.25" customHeight="1" thickBot="1">
      <c r="A66" s="212"/>
      <c r="C66" s="178"/>
      <c r="D66" s="178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</row>
    <row r="67" spans="1:20" ht="16.5" thickBot="1">
      <c r="A67" s="225">
        <v>4</v>
      </c>
      <c r="B67" s="666" t="s">
        <v>996</v>
      </c>
      <c r="C67" s="667"/>
      <c r="D67" s="667"/>
      <c r="E67" s="667"/>
      <c r="F67" s="667"/>
      <c r="G67" s="667"/>
      <c r="H67" s="667"/>
      <c r="I67" s="667"/>
      <c r="J67" s="667"/>
      <c r="K67" s="667"/>
      <c r="L67" s="667"/>
      <c r="M67" s="667"/>
      <c r="N67" s="667"/>
      <c r="O67" s="667"/>
      <c r="P67" s="667"/>
      <c r="Q67" s="667"/>
      <c r="R67" s="667"/>
      <c r="S67" s="668"/>
      <c r="T67" s="194"/>
    </row>
    <row r="68" spans="1:20" ht="8.25" customHeight="1" thickBot="1">
      <c r="A68" s="226"/>
      <c r="B68" s="227"/>
      <c r="C68" s="200"/>
      <c r="D68" s="200"/>
      <c r="E68" s="228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194"/>
    </row>
    <row r="69" spans="1:20" ht="16.5" thickBot="1">
      <c r="A69" s="230" t="s">
        <v>997</v>
      </c>
      <c r="B69" s="669" t="s">
        <v>998</v>
      </c>
      <c r="C69" s="669"/>
      <c r="D69" s="669"/>
      <c r="E69" s="231" t="s">
        <v>967</v>
      </c>
      <c r="F69" s="232" t="s">
        <v>956</v>
      </c>
      <c r="G69" s="232" t="s">
        <v>956</v>
      </c>
      <c r="H69" s="232" t="s">
        <v>956</v>
      </c>
      <c r="I69" s="232" t="s">
        <v>956</v>
      </c>
      <c r="J69" s="232" t="s">
        <v>956</v>
      </c>
      <c r="K69" s="232" t="s">
        <v>956</v>
      </c>
      <c r="L69" s="232" t="s">
        <v>956</v>
      </c>
      <c r="M69" s="232" t="s">
        <v>956</v>
      </c>
      <c r="N69" s="232" t="s">
        <v>956</v>
      </c>
      <c r="O69" s="232" t="s">
        <v>956</v>
      </c>
      <c r="P69" s="232" t="s">
        <v>956</v>
      </c>
      <c r="Q69" s="232" t="s">
        <v>956</v>
      </c>
      <c r="R69" s="232" t="s">
        <v>956</v>
      </c>
      <c r="S69" s="232" t="s">
        <v>956</v>
      </c>
      <c r="T69" s="194"/>
    </row>
    <row r="70" spans="1:20">
      <c r="A70" s="233" t="s">
        <v>937</v>
      </c>
      <c r="B70" s="643" t="s">
        <v>999</v>
      </c>
      <c r="C70" s="644"/>
      <c r="D70" s="645"/>
      <c r="E70" s="395">
        <f>1/12</f>
        <v>8.3333333333333329E-2</v>
      </c>
      <c r="F70" s="234">
        <f>$E$70*F25</f>
        <v>1148.2083333333333</v>
      </c>
      <c r="G70" s="234">
        <f>$E$70*G25</f>
        <v>1148.2083333333333</v>
      </c>
      <c r="H70" s="234">
        <f>$E$70*H25</f>
        <v>1148.2083333333333</v>
      </c>
      <c r="I70" s="234">
        <f>$E$70*I25</f>
        <v>309.69833333333332</v>
      </c>
      <c r="J70" s="234">
        <f>$E$70*J25</f>
        <v>253.15666666666667</v>
      </c>
      <c r="K70" s="234">
        <f>$E$70*K25</f>
        <v>489.60166666666669</v>
      </c>
      <c r="L70" s="234">
        <f>$E$70*L25</f>
        <v>375.85916666666668</v>
      </c>
      <c r="M70" s="234">
        <f>$E$70*M25</f>
        <v>402.6078333333333</v>
      </c>
      <c r="N70" s="234">
        <f>$E$70*N25</f>
        <v>402.6078333333333</v>
      </c>
      <c r="O70" s="234">
        <f>$E$70*O25</f>
        <v>309.69833333333332</v>
      </c>
      <c r="P70" s="234">
        <f>$E$70*P25</f>
        <v>309.69833333333332</v>
      </c>
      <c r="Q70" s="234">
        <f>$E$70*Q25</f>
        <v>262.64333333333332</v>
      </c>
      <c r="R70" s="234">
        <f>$E$70*R25</f>
        <v>202.03333333333333</v>
      </c>
      <c r="S70" s="234">
        <f>$E$70*S25</f>
        <v>136.58333333333331</v>
      </c>
      <c r="T70" s="194"/>
    </row>
    <row r="71" spans="1:20">
      <c r="A71" s="235" t="s">
        <v>939</v>
      </c>
      <c r="B71" s="600" t="s">
        <v>1000</v>
      </c>
      <c r="C71" s="589"/>
      <c r="D71" s="601"/>
      <c r="E71" s="396">
        <f>((1/30)/12)*5</f>
        <v>1.388888888888889E-2</v>
      </c>
      <c r="F71" s="234">
        <f>$E$71*F25</f>
        <v>191.36805555555557</v>
      </c>
      <c r="G71" s="234">
        <f>$E$71*G25</f>
        <v>191.36805555555557</v>
      </c>
      <c r="H71" s="234">
        <f>$E$71*H25</f>
        <v>191.36805555555557</v>
      </c>
      <c r="I71" s="234">
        <f>$E$71*I25</f>
        <v>51.616388888888892</v>
      </c>
      <c r="J71" s="234">
        <f>$E$71*J25</f>
        <v>42.192777777777785</v>
      </c>
      <c r="K71" s="234">
        <f>$E$71*K25</f>
        <v>81.600277777777791</v>
      </c>
      <c r="L71" s="234">
        <f>$E$71*L25</f>
        <v>62.643194444444454</v>
      </c>
      <c r="M71" s="234">
        <f>$E$71*M25</f>
        <v>67.101305555555555</v>
      </c>
      <c r="N71" s="234">
        <f>$E$71*N25</f>
        <v>67.101305555555555</v>
      </c>
      <c r="O71" s="234">
        <f>$E$71*O25</f>
        <v>51.616388888888892</v>
      </c>
      <c r="P71" s="234">
        <f>$E$71*P25</f>
        <v>51.616388888888892</v>
      </c>
      <c r="Q71" s="234">
        <f>$E$71*Q25</f>
        <v>43.773888888888898</v>
      </c>
      <c r="R71" s="234">
        <f>$E$71*R25</f>
        <v>33.672222222222224</v>
      </c>
      <c r="S71" s="234">
        <f>$E$71*S25</f>
        <v>22.763888888888889</v>
      </c>
      <c r="T71" s="194"/>
    </row>
    <row r="72" spans="1:20">
      <c r="A72" s="236" t="s">
        <v>942</v>
      </c>
      <c r="B72" s="612" t="s">
        <v>1001</v>
      </c>
      <c r="C72" s="613"/>
      <c r="D72" s="621"/>
      <c r="E72" s="396">
        <f>(((1/30)*5)/12)*0.05</f>
        <v>6.9444444444444447E-4</v>
      </c>
      <c r="F72" s="234">
        <f>$E$72*F25</f>
        <v>9.5684027777777789</v>
      </c>
      <c r="G72" s="234">
        <f>$E$72*G25</f>
        <v>9.5684027777777789</v>
      </c>
      <c r="H72" s="234">
        <f>$E$72*H25</f>
        <v>9.5684027777777789</v>
      </c>
      <c r="I72" s="234">
        <f>$E$72*I25</f>
        <v>2.5808194444444448</v>
      </c>
      <c r="J72" s="234">
        <f>$E$72*J25</f>
        <v>2.1096388888888891</v>
      </c>
      <c r="K72" s="234">
        <f>$E$72*K25</f>
        <v>4.0800138888888888</v>
      </c>
      <c r="L72" s="234">
        <f>$E$72*L25</f>
        <v>3.1321597222222226</v>
      </c>
      <c r="M72" s="234">
        <f>$E$72*M25</f>
        <v>3.3550652777777779</v>
      </c>
      <c r="N72" s="234">
        <f>$E$72*N25</f>
        <v>3.3550652777777779</v>
      </c>
      <c r="O72" s="234">
        <f>$E$72*O25</f>
        <v>2.5808194444444448</v>
      </c>
      <c r="P72" s="234">
        <f>$E$72*P25</f>
        <v>2.5808194444444448</v>
      </c>
      <c r="Q72" s="234">
        <f>$E$72*Q25</f>
        <v>2.1886944444444447</v>
      </c>
      <c r="R72" s="234">
        <f>$E$72*R25</f>
        <v>1.6836111111111112</v>
      </c>
      <c r="S72" s="234">
        <f>$E$72*S25</f>
        <v>1.1381944444444445</v>
      </c>
      <c r="T72" s="194"/>
    </row>
    <row r="73" spans="1:20">
      <c r="A73" s="237" t="s">
        <v>944</v>
      </c>
      <c r="B73" s="597" t="s">
        <v>1002</v>
      </c>
      <c r="C73" s="598"/>
      <c r="D73" s="599"/>
      <c r="E73" s="396">
        <f>((1/30)*3)/12</f>
        <v>8.3333333333333332E-3</v>
      </c>
      <c r="F73" s="234">
        <f>$E$73*F25</f>
        <v>114.82083333333333</v>
      </c>
      <c r="G73" s="234">
        <f>$E$73*G25</f>
        <v>114.82083333333333</v>
      </c>
      <c r="H73" s="234">
        <f>$E$73*H25</f>
        <v>114.82083333333333</v>
      </c>
      <c r="I73" s="234">
        <f>$E$73*I25</f>
        <v>30.969833333333334</v>
      </c>
      <c r="J73" s="234">
        <f>$E$73*J25</f>
        <v>25.315666666666669</v>
      </c>
      <c r="K73" s="234">
        <f>$E$73*K25</f>
        <v>48.960166666666666</v>
      </c>
      <c r="L73" s="234">
        <f>$E$73*L25</f>
        <v>37.58591666666667</v>
      </c>
      <c r="M73" s="234">
        <f>$E$73*M25</f>
        <v>40.260783333333329</v>
      </c>
      <c r="N73" s="234">
        <f>$E$73*N25</f>
        <v>40.260783333333329</v>
      </c>
      <c r="O73" s="234">
        <f>$E$73*O25</f>
        <v>30.969833333333334</v>
      </c>
      <c r="P73" s="234">
        <f>$E$73*P25</f>
        <v>30.969833333333334</v>
      </c>
      <c r="Q73" s="234">
        <f>$E$73*Q25</f>
        <v>26.264333333333337</v>
      </c>
      <c r="R73" s="234">
        <f>$E$73*R25</f>
        <v>20.203333333333333</v>
      </c>
      <c r="S73" s="234">
        <f>$E$73*S25</f>
        <v>13.658333333333333</v>
      </c>
      <c r="T73" s="194"/>
    </row>
    <row r="74" spans="1:20">
      <c r="A74" s="237" t="s">
        <v>945</v>
      </c>
      <c r="B74" s="597" t="s">
        <v>1003</v>
      </c>
      <c r="C74" s="598"/>
      <c r="D74" s="599"/>
      <c r="E74" s="396">
        <f>(((4/3)*(4/12))/12)*0.01</f>
        <v>3.7037037037037035E-4</v>
      </c>
      <c r="F74" s="234">
        <f>$E$74*F25</f>
        <v>5.103148148148148</v>
      </c>
      <c r="G74" s="234">
        <f>$E$74*G25</f>
        <v>5.103148148148148</v>
      </c>
      <c r="H74" s="234">
        <f>$E$74*H25</f>
        <v>5.103148148148148</v>
      </c>
      <c r="I74" s="234">
        <f>$E$74*I25</f>
        <v>1.3764370370370369</v>
      </c>
      <c r="J74" s="234">
        <f>$E$74*J25</f>
        <v>1.1251407407407408</v>
      </c>
      <c r="K74" s="234">
        <f>$E$74*K25</f>
        <v>2.1760074074074076</v>
      </c>
      <c r="L74" s="234">
        <f>$E$74*L25</f>
        <v>1.6704851851851852</v>
      </c>
      <c r="M74" s="234">
        <f>$E$74*M25</f>
        <v>1.789368148148148</v>
      </c>
      <c r="N74" s="234">
        <f>$E$74*N25</f>
        <v>1.789368148148148</v>
      </c>
      <c r="O74" s="234">
        <f>$E$74*O25</f>
        <v>1.3764370370370369</v>
      </c>
      <c r="P74" s="234">
        <f>$E$74*P25</f>
        <v>1.3764370370370369</v>
      </c>
      <c r="Q74" s="234">
        <f>$E$74*Q25</f>
        <v>1.1673037037037037</v>
      </c>
      <c r="R74" s="234">
        <f>$E$74*R25</f>
        <v>0.89792592592592591</v>
      </c>
      <c r="S74" s="234">
        <f>$E$74*S25</f>
        <v>0.60703703703703704</v>
      </c>
      <c r="T74" s="194"/>
    </row>
    <row r="75" spans="1:20">
      <c r="A75" s="238"/>
      <c r="B75" s="629" t="s">
        <v>1004</v>
      </c>
      <c r="C75" s="630"/>
      <c r="D75" s="631"/>
      <c r="E75" s="396"/>
      <c r="F75" s="239">
        <f>SUM(F70:F74)</f>
        <v>1469.068773148148</v>
      </c>
      <c r="G75" s="239">
        <f>SUM(G70:G74)</f>
        <v>1469.068773148148</v>
      </c>
      <c r="H75" s="239">
        <f>SUM(H70:H74)</f>
        <v>1469.068773148148</v>
      </c>
      <c r="I75" s="239">
        <f t="shared" ref="I75:J75" si="77">SUM(I70:I74)</f>
        <v>396.24181203703699</v>
      </c>
      <c r="J75" s="239">
        <f t="shared" si="77"/>
        <v>323.89989074074072</v>
      </c>
      <c r="K75" s="239">
        <f t="shared" ref="K75:S75" si="78">SUM(K70:K74)</f>
        <v>626.41813240740737</v>
      </c>
      <c r="L75" s="239">
        <f t="shared" ref="L75" si="79">SUM(L70:L74)</f>
        <v>480.89092268518522</v>
      </c>
      <c r="M75" s="239">
        <f t="shared" si="78"/>
        <v>515.11435564814803</v>
      </c>
      <c r="N75" s="239">
        <f t="shared" ref="N75:O75" si="80">SUM(N70:N74)</f>
        <v>515.11435564814803</v>
      </c>
      <c r="O75" s="239">
        <f t="shared" si="80"/>
        <v>396.24181203703699</v>
      </c>
      <c r="P75" s="239">
        <f t="shared" ref="P75" si="81">SUM(P70:P74)</f>
        <v>396.24181203703699</v>
      </c>
      <c r="Q75" s="239">
        <f t="shared" si="78"/>
        <v>336.03755370370368</v>
      </c>
      <c r="R75" s="239">
        <f t="shared" si="78"/>
        <v>258.49042592592588</v>
      </c>
      <c r="S75" s="239">
        <f t="shared" si="78"/>
        <v>174.75078703703701</v>
      </c>
      <c r="T75" s="194"/>
    </row>
    <row r="76" spans="1:20">
      <c r="A76" s="238" t="s">
        <v>962</v>
      </c>
      <c r="B76" s="597" t="s">
        <v>1005</v>
      </c>
      <c r="C76" s="598"/>
      <c r="D76" s="599"/>
      <c r="E76" s="397">
        <f>E45</f>
        <v>0.40800000000000008</v>
      </c>
      <c r="F76" s="240">
        <f t="shared" ref="F76:L76" si="82">$E$76*F75</f>
        <v>599.38005944444456</v>
      </c>
      <c r="G76" s="240">
        <f t="shared" si="82"/>
        <v>599.38005944444456</v>
      </c>
      <c r="H76" s="240">
        <f t="shared" si="82"/>
        <v>599.38005944444456</v>
      </c>
      <c r="I76" s="240">
        <f t="shared" si="82"/>
        <v>161.66665931111112</v>
      </c>
      <c r="J76" s="240">
        <f t="shared" si="82"/>
        <v>132.15115542222225</v>
      </c>
      <c r="K76" s="240">
        <f t="shared" si="82"/>
        <v>255.57859802222225</v>
      </c>
      <c r="L76" s="240">
        <f t="shared" si="82"/>
        <v>196.20349645555561</v>
      </c>
      <c r="M76" s="240">
        <f t="shared" ref="M76:S76" si="83">$E$76*M75</f>
        <v>210.16665710444445</v>
      </c>
      <c r="N76" s="240">
        <f t="shared" ref="N76:O76" si="84">$E$76*N75</f>
        <v>210.16665710444445</v>
      </c>
      <c r="O76" s="240">
        <f t="shared" si="84"/>
        <v>161.66665931111112</v>
      </c>
      <c r="P76" s="240">
        <f t="shared" ref="P76" si="85">$E$76*P75</f>
        <v>161.66665931111112</v>
      </c>
      <c r="Q76" s="240">
        <f>$E$76*Q75</f>
        <v>137.10332191111112</v>
      </c>
      <c r="R76" s="240">
        <f t="shared" si="83"/>
        <v>105.46409377777778</v>
      </c>
      <c r="S76" s="240">
        <f t="shared" si="83"/>
        <v>71.298321111111122</v>
      </c>
      <c r="T76" s="194"/>
    </row>
    <row r="77" spans="1:20" ht="16.5" thickBot="1">
      <c r="A77" s="241"/>
      <c r="B77" s="602" t="s">
        <v>1006</v>
      </c>
      <c r="C77" s="603"/>
      <c r="D77" s="625"/>
      <c r="E77" s="242"/>
      <c r="F77" s="243">
        <f t="shared" ref="F77:L77" si="86">F75+F76</f>
        <v>2068.4488325925927</v>
      </c>
      <c r="G77" s="243">
        <f t="shared" si="86"/>
        <v>2068.4488325925927</v>
      </c>
      <c r="H77" s="243">
        <f t="shared" si="86"/>
        <v>2068.4488325925927</v>
      </c>
      <c r="I77" s="243">
        <f t="shared" si="86"/>
        <v>557.90847134814817</v>
      </c>
      <c r="J77" s="243">
        <f t="shared" si="86"/>
        <v>456.05104616296296</v>
      </c>
      <c r="K77" s="243">
        <f t="shared" si="86"/>
        <v>881.99673042962968</v>
      </c>
      <c r="L77" s="243">
        <f t="shared" si="86"/>
        <v>677.0944191407408</v>
      </c>
      <c r="M77" s="243">
        <f t="shared" ref="M77:S77" si="87">M75+M76</f>
        <v>725.28101275259246</v>
      </c>
      <c r="N77" s="243">
        <f t="shared" ref="N77:O77" si="88">N75+N76</f>
        <v>725.28101275259246</v>
      </c>
      <c r="O77" s="243">
        <f t="shared" si="88"/>
        <v>557.90847134814817</v>
      </c>
      <c r="P77" s="243">
        <f t="shared" ref="P77" si="89">P75+P76</f>
        <v>557.90847134814817</v>
      </c>
      <c r="Q77" s="243">
        <f t="shared" si="87"/>
        <v>473.14087561481483</v>
      </c>
      <c r="R77" s="243">
        <f t="shared" si="87"/>
        <v>363.95451970370368</v>
      </c>
      <c r="S77" s="243">
        <f t="shared" si="87"/>
        <v>246.04910814814815</v>
      </c>
      <c r="T77" s="208"/>
    </row>
    <row r="78" spans="1:20" ht="6.75" customHeight="1" thickBot="1">
      <c r="A78" s="199"/>
      <c r="B78" s="200"/>
      <c r="C78" s="200"/>
      <c r="D78" s="200"/>
      <c r="E78" s="244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</row>
    <row r="79" spans="1:20" ht="16.5" thickBot="1">
      <c r="A79" s="230" t="s">
        <v>1007</v>
      </c>
      <c r="B79" s="669" t="s">
        <v>1008</v>
      </c>
      <c r="C79" s="669"/>
      <c r="D79" s="669"/>
      <c r="E79" s="231" t="s">
        <v>967</v>
      </c>
      <c r="F79" s="232" t="s">
        <v>956</v>
      </c>
      <c r="G79" s="232" t="s">
        <v>956</v>
      </c>
      <c r="H79" s="232" t="s">
        <v>956</v>
      </c>
      <c r="I79" s="232" t="s">
        <v>956</v>
      </c>
      <c r="J79" s="232" t="s">
        <v>956</v>
      </c>
      <c r="K79" s="232" t="s">
        <v>956</v>
      </c>
      <c r="L79" s="232" t="s">
        <v>956</v>
      </c>
      <c r="M79" s="232" t="s">
        <v>956</v>
      </c>
      <c r="N79" s="232" t="s">
        <v>956</v>
      </c>
      <c r="O79" s="232" t="s">
        <v>956</v>
      </c>
      <c r="P79" s="232" t="s">
        <v>956</v>
      </c>
      <c r="Q79" s="232" t="s">
        <v>956</v>
      </c>
      <c r="R79" s="232" t="s">
        <v>956</v>
      </c>
      <c r="S79" s="232" t="s">
        <v>956</v>
      </c>
      <c r="T79" s="194"/>
    </row>
    <row r="80" spans="1:20">
      <c r="A80" s="245" t="s">
        <v>937</v>
      </c>
      <c r="B80" s="676" t="s">
        <v>1009</v>
      </c>
      <c r="C80" s="676"/>
      <c r="D80" s="676"/>
      <c r="E80" s="177"/>
      <c r="F80" s="234">
        <v>0</v>
      </c>
      <c r="G80" s="234">
        <v>0</v>
      </c>
      <c r="H80" s="234">
        <v>0</v>
      </c>
      <c r="I80" s="234">
        <v>0</v>
      </c>
      <c r="J80" s="234">
        <v>0</v>
      </c>
      <c r="K80" s="234">
        <v>0</v>
      </c>
      <c r="L80" s="234">
        <v>0</v>
      </c>
      <c r="M80" s="234">
        <v>0</v>
      </c>
      <c r="N80" s="234">
        <v>0</v>
      </c>
      <c r="O80" s="234">
        <v>0</v>
      </c>
      <c r="P80" s="234">
        <v>0</v>
      </c>
      <c r="Q80" s="234">
        <v>0</v>
      </c>
      <c r="R80" s="234">
        <v>0</v>
      </c>
      <c r="S80" s="234">
        <v>0</v>
      </c>
      <c r="T80" s="194"/>
    </row>
    <row r="81" spans="1:20">
      <c r="A81" s="212" t="s">
        <v>939</v>
      </c>
      <c r="B81" s="597" t="s">
        <v>1005</v>
      </c>
      <c r="C81" s="598"/>
      <c r="D81" s="598"/>
      <c r="E81" s="176">
        <f>E45</f>
        <v>0.40800000000000008</v>
      </c>
      <c r="F81" s="240">
        <f>F80*E81</f>
        <v>0</v>
      </c>
      <c r="G81" s="240">
        <f>G80*F81</f>
        <v>0</v>
      </c>
      <c r="H81" s="240">
        <f>H80*G81</f>
        <v>0</v>
      </c>
      <c r="I81" s="240">
        <f>I80*E81</f>
        <v>0</v>
      </c>
      <c r="J81" s="240">
        <f>J80*F81</f>
        <v>0</v>
      </c>
      <c r="K81" s="240">
        <f>K80*F81</f>
        <v>0</v>
      </c>
      <c r="L81" s="240">
        <f>L80*G81</f>
        <v>0</v>
      </c>
      <c r="M81" s="240">
        <f>M80*K81</f>
        <v>0</v>
      </c>
      <c r="N81" s="240">
        <f>N80*L81</f>
        <v>0</v>
      </c>
      <c r="O81" s="240">
        <f>O80*M81</f>
        <v>0</v>
      </c>
      <c r="P81" s="240">
        <f>P80*N81</f>
        <v>0</v>
      </c>
      <c r="Q81" s="240">
        <f>Q80*M81</f>
        <v>0</v>
      </c>
      <c r="R81" s="240">
        <f t="shared" ref="R81:S81" si="90">R80*Q81</f>
        <v>0</v>
      </c>
      <c r="S81" s="240">
        <f t="shared" si="90"/>
        <v>0</v>
      </c>
      <c r="T81" s="194"/>
    </row>
    <row r="82" spans="1:20" ht="16.5" thickBot="1">
      <c r="A82" s="191"/>
      <c r="B82" s="602" t="s">
        <v>1010</v>
      </c>
      <c r="C82" s="603"/>
      <c r="D82" s="604"/>
      <c r="E82" s="246"/>
      <c r="F82" s="247">
        <f>SUM(F80:F81)</f>
        <v>0</v>
      </c>
      <c r="G82" s="247">
        <f>SUM(G80:G81)</f>
        <v>0</v>
      </c>
      <c r="H82" s="247">
        <f>SUM(H80:H81)</f>
        <v>0</v>
      </c>
      <c r="I82" s="247">
        <f t="shared" ref="I82:J82" si="91">SUM(I80:I81)</f>
        <v>0</v>
      </c>
      <c r="J82" s="247">
        <f t="shared" si="91"/>
        <v>0</v>
      </c>
      <c r="K82" s="247">
        <f t="shared" ref="K82:S82" si="92">SUM(K80:K81)</f>
        <v>0</v>
      </c>
      <c r="L82" s="247">
        <f t="shared" ref="L82" si="93">SUM(L80:L81)</f>
        <v>0</v>
      </c>
      <c r="M82" s="247">
        <f t="shared" si="92"/>
        <v>0</v>
      </c>
      <c r="N82" s="247">
        <f t="shared" ref="N82:O82" si="94">SUM(N80:N81)</f>
        <v>0</v>
      </c>
      <c r="O82" s="247">
        <f t="shared" si="94"/>
        <v>0</v>
      </c>
      <c r="P82" s="247">
        <f t="shared" ref="P82" si="95">SUM(P80:P81)</f>
        <v>0</v>
      </c>
      <c r="Q82" s="247">
        <f t="shared" si="92"/>
        <v>0</v>
      </c>
      <c r="R82" s="247">
        <f t="shared" si="92"/>
        <v>0</v>
      </c>
      <c r="S82" s="247">
        <f t="shared" si="92"/>
        <v>0</v>
      </c>
      <c r="T82" s="208"/>
    </row>
    <row r="83" spans="1:20" ht="5.25" customHeight="1" thickBot="1">
      <c r="A83" s="248"/>
      <c r="B83" s="249"/>
      <c r="C83" s="249"/>
      <c r="D83" s="249"/>
      <c r="E83" s="250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08"/>
    </row>
    <row r="84" spans="1:20" ht="18" customHeight="1" thickBot="1">
      <c r="A84" s="252"/>
      <c r="B84" s="632" t="s">
        <v>1011</v>
      </c>
      <c r="C84" s="633"/>
      <c r="D84" s="634"/>
      <c r="E84" s="253"/>
      <c r="F84" s="254">
        <f>F77+F82</f>
        <v>2068.4488325925927</v>
      </c>
      <c r="G84" s="254">
        <f>G77+G82</f>
        <v>2068.4488325925927</v>
      </c>
      <c r="H84" s="254">
        <f>H77+H82</f>
        <v>2068.4488325925927</v>
      </c>
      <c r="I84" s="254">
        <f t="shared" ref="I84:J84" si="96">I77+I82</f>
        <v>557.90847134814817</v>
      </c>
      <c r="J84" s="254">
        <f t="shared" si="96"/>
        <v>456.05104616296296</v>
      </c>
      <c r="K84" s="254">
        <f t="shared" ref="K84:R84" si="97">K77+K82</f>
        <v>881.99673042962968</v>
      </c>
      <c r="L84" s="254">
        <f t="shared" ref="L84" si="98">L77+L82</f>
        <v>677.0944191407408</v>
      </c>
      <c r="M84" s="254">
        <f t="shared" si="97"/>
        <v>725.28101275259246</v>
      </c>
      <c r="N84" s="254">
        <f t="shared" ref="N84:O84" si="99">N77+N82</f>
        <v>725.28101275259246</v>
      </c>
      <c r="O84" s="254">
        <f t="shared" si="99"/>
        <v>557.90847134814817</v>
      </c>
      <c r="P84" s="254">
        <f t="shared" ref="P84" si="100">P77+P82</f>
        <v>557.90847134814817</v>
      </c>
      <c r="Q84" s="254">
        <f>Q77+Q82</f>
        <v>473.14087561481483</v>
      </c>
      <c r="R84" s="254">
        <f t="shared" si="97"/>
        <v>363.95451970370368</v>
      </c>
      <c r="S84" s="254">
        <f>S77+S82</f>
        <v>246.04910814814815</v>
      </c>
      <c r="T84" s="216"/>
    </row>
    <row r="85" spans="1:20" ht="9.75" customHeight="1" thickBot="1">
      <c r="A85" s="255"/>
      <c r="B85" s="256"/>
      <c r="C85" s="256"/>
      <c r="D85" s="256"/>
      <c r="E85" s="244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</row>
    <row r="86" spans="1:20" ht="22.5" customHeight="1" thickBot="1">
      <c r="A86" s="257">
        <v>5</v>
      </c>
      <c r="B86" s="673" t="s">
        <v>1012</v>
      </c>
      <c r="C86" s="674"/>
      <c r="D86" s="675"/>
      <c r="E86" s="258" t="s">
        <v>955</v>
      </c>
      <c r="F86" s="259" t="s">
        <v>956</v>
      </c>
      <c r="G86" s="259" t="s">
        <v>956</v>
      </c>
      <c r="H86" s="259" t="s">
        <v>956</v>
      </c>
      <c r="I86" s="259" t="s">
        <v>956</v>
      </c>
      <c r="J86" s="259" t="s">
        <v>956</v>
      </c>
      <c r="K86" s="259" t="s">
        <v>956</v>
      </c>
      <c r="L86" s="259" t="s">
        <v>956</v>
      </c>
      <c r="M86" s="259" t="s">
        <v>956</v>
      </c>
      <c r="N86" s="259" t="s">
        <v>956</v>
      </c>
      <c r="O86" s="259" t="s">
        <v>956</v>
      </c>
      <c r="P86" s="259" t="s">
        <v>956</v>
      </c>
      <c r="Q86" s="259" t="s">
        <v>956</v>
      </c>
      <c r="R86" s="259" t="s">
        <v>956</v>
      </c>
      <c r="S86" s="259" t="s">
        <v>956</v>
      </c>
      <c r="T86" s="185"/>
    </row>
    <row r="87" spans="1:20">
      <c r="A87" s="260" t="s">
        <v>937</v>
      </c>
      <c r="B87" s="612" t="s">
        <v>1013</v>
      </c>
      <c r="C87" s="613"/>
      <c r="D87" s="621"/>
      <c r="E87" s="261"/>
      <c r="F87" s="262"/>
      <c r="G87" s="262"/>
      <c r="H87" s="262"/>
      <c r="I87" s="262">
        <f>'materiais da preventiva'!$E$155</f>
        <v>77.348333333333329</v>
      </c>
      <c r="J87" s="262">
        <f>'materiais da preventiva'!$E$155</f>
        <v>77.348333333333329</v>
      </c>
      <c r="K87" s="262">
        <f>'materiais da preventiva'!$E$155</f>
        <v>77.348333333333329</v>
      </c>
      <c r="L87" s="262">
        <f>'materiais da preventiva'!$E$155</f>
        <v>77.348333333333329</v>
      </c>
      <c r="M87" s="262">
        <f>'materiais da preventiva'!$E$165</f>
        <v>40.354999999999997</v>
      </c>
      <c r="N87" s="262">
        <f>'materiais da preventiva'!$E$165</f>
        <v>40.354999999999997</v>
      </c>
      <c r="O87" s="262">
        <f>'materiais da preventiva'!$E$165</f>
        <v>40.354999999999997</v>
      </c>
      <c r="P87" s="262">
        <f>'materiais da preventiva'!$E$165</f>
        <v>40.354999999999997</v>
      </c>
      <c r="Q87" s="262">
        <f>'materiais da preventiva'!$E$165</f>
        <v>40.354999999999997</v>
      </c>
      <c r="R87" s="262">
        <f>'materiais da preventiva'!$E$165</f>
        <v>40.354999999999997</v>
      </c>
      <c r="S87" s="262">
        <f>'materiais da preventiva'!$E$165</f>
        <v>40.354999999999997</v>
      </c>
      <c r="T87" s="194"/>
    </row>
    <row r="88" spans="1:20">
      <c r="A88" s="263" t="s">
        <v>939</v>
      </c>
      <c r="B88" s="597" t="s">
        <v>1014</v>
      </c>
      <c r="C88" s="598"/>
      <c r="D88" s="599"/>
      <c r="E88" s="264"/>
      <c r="F88" s="262"/>
      <c r="G88" s="262"/>
      <c r="H88" s="262"/>
      <c r="I88" s="262"/>
      <c r="J88" s="262"/>
      <c r="K88" s="262">
        <f>'materiais da preventiva'!$I$63</f>
        <v>202.37872222222225</v>
      </c>
      <c r="L88" s="262">
        <f>'materiais da preventiva'!$I$63</f>
        <v>202.37872222222225</v>
      </c>
      <c r="M88" s="262">
        <f>'materiais da preventiva'!$I$63</f>
        <v>202.37872222222225</v>
      </c>
      <c r="N88" s="262">
        <f>'materiais da preventiva'!$I$63</f>
        <v>202.37872222222225</v>
      </c>
      <c r="O88" s="262">
        <f>'materiais da preventiva'!$I$63</f>
        <v>202.37872222222225</v>
      </c>
      <c r="P88" s="262">
        <f>'materiais da preventiva'!$I$63</f>
        <v>202.37872222222225</v>
      </c>
      <c r="Q88" s="262">
        <f>'materiais da preventiva'!$I$63</f>
        <v>202.37872222222225</v>
      </c>
      <c r="R88" s="262">
        <f>'materiais da preventiva'!$I$63</f>
        <v>202.37872222222225</v>
      </c>
      <c r="S88" s="262">
        <f>'materiais da preventiva'!$I$63</f>
        <v>202.37872222222225</v>
      </c>
      <c r="T88" s="194"/>
    </row>
    <row r="89" spans="1:20" ht="18" customHeight="1">
      <c r="A89" s="265" t="s">
        <v>942</v>
      </c>
      <c r="B89" s="626" t="s">
        <v>1015</v>
      </c>
      <c r="C89" s="627"/>
      <c r="D89" s="628"/>
      <c r="E89" s="264"/>
      <c r="F89" s="262"/>
      <c r="G89" s="262"/>
      <c r="H89" s="262"/>
      <c r="I89" s="262"/>
      <c r="J89" s="262"/>
      <c r="K89" s="262">
        <f>'materiais da preventiva'!$E$144</f>
        <v>66.485405555555559</v>
      </c>
      <c r="L89" s="262">
        <f>'materiais da preventiva'!$E$144</f>
        <v>66.485405555555559</v>
      </c>
      <c r="M89" s="262">
        <f>'materiais da preventiva'!$E$144</f>
        <v>66.485405555555559</v>
      </c>
      <c r="N89" s="262">
        <f>'materiais da preventiva'!$E$144</f>
        <v>66.485405555555559</v>
      </c>
      <c r="O89" s="262">
        <f>'materiais da preventiva'!$E$144</f>
        <v>66.485405555555559</v>
      </c>
      <c r="P89" s="262">
        <f>'materiais da preventiva'!$E$144</f>
        <v>66.485405555555559</v>
      </c>
      <c r="Q89" s="262">
        <f>'materiais da preventiva'!$E$144</f>
        <v>66.485405555555559</v>
      </c>
      <c r="R89" s="262">
        <f>'materiais da preventiva'!$E$144</f>
        <v>66.485405555555559</v>
      </c>
      <c r="S89" s="262">
        <f>'materiais da preventiva'!$E$144</f>
        <v>66.485405555555559</v>
      </c>
      <c r="T89" s="194"/>
    </row>
    <row r="90" spans="1:20" ht="18" customHeight="1">
      <c r="A90" s="266" t="s">
        <v>944</v>
      </c>
      <c r="B90" s="626" t="s">
        <v>1016</v>
      </c>
      <c r="C90" s="627"/>
      <c r="D90" s="628"/>
      <c r="E90" s="267"/>
      <c r="F90" s="268"/>
      <c r="G90" s="268"/>
      <c r="H90" s="268"/>
      <c r="I90" s="268"/>
      <c r="J90" s="268"/>
      <c r="K90" s="268">
        <f>'materiais da preventiva'!$H$179</f>
        <v>11.137407407407409</v>
      </c>
      <c r="L90" s="268">
        <f>'materiais da preventiva'!$H$179</f>
        <v>11.137407407407409</v>
      </c>
      <c r="M90" s="268">
        <f>'materiais da preventiva'!$H$179</f>
        <v>11.137407407407409</v>
      </c>
      <c r="N90" s="268">
        <f>'materiais da preventiva'!$H$179</f>
        <v>11.137407407407409</v>
      </c>
      <c r="O90" s="268">
        <f>'materiais da preventiva'!$H$179</f>
        <v>11.137407407407409</v>
      </c>
      <c r="P90" s="268">
        <f>'materiais da preventiva'!$H$179</f>
        <v>11.137407407407409</v>
      </c>
      <c r="Q90" s="268">
        <f>'materiais da preventiva'!$H$179</f>
        <v>11.137407407407409</v>
      </c>
      <c r="R90" s="268">
        <f>'materiais da preventiva'!$H$179</f>
        <v>11.137407407407409</v>
      </c>
      <c r="S90" s="268">
        <f>'materiais da preventiva'!$H$179</f>
        <v>11.137407407407409</v>
      </c>
      <c r="T90" s="194"/>
    </row>
    <row r="91" spans="1:20" ht="20.25" customHeight="1" thickBot="1">
      <c r="A91" s="269"/>
      <c r="B91" s="640" t="s">
        <v>1017</v>
      </c>
      <c r="C91" s="641"/>
      <c r="D91" s="642"/>
      <c r="E91" s="270"/>
      <c r="F91" s="271">
        <f>SUM(F87:F90)</f>
        <v>0</v>
      </c>
      <c r="G91" s="271">
        <f>SUM(G87:G90)</f>
        <v>0</v>
      </c>
      <c r="H91" s="271">
        <f>SUM(H87:H90)</f>
        <v>0</v>
      </c>
      <c r="I91" s="271">
        <f t="shared" ref="I91:J91" si="101">SUM(I87:I90)</f>
        <v>77.348333333333329</v>
      </c>
      <c r="J91" s="271">
        <f t="shared" si="101"/>
        <v>77.348333333333329</v>
      </c>
      <c r="K91" s="271">
        <f t="shared" ref="K91:S91" si="102">SUM(K87:K90)</f>
        <v>357.34986851851852</v>
      </c>
      <c r="L91" s="271">
        <f t="shared" ref="L91" si="103">SUM(L87:L90)</f>
        <v>357.34986851851852</v>
      </c>
      <c r="M91" s="271">
        <f t="shared" si="102"/>
        <v>320.35653518518518</v>
      </c>
      <c r="N91" s="271">
        <f t="shared" ref="N91:O91" si="104">SUM(N87:N90)</f>
        <v>320.35653518518518</v>
      </c>
      <c r="O91" s="271">
        <f t="shared" si="104"/>
        <v>320.35653518518518</v>
      </c>
      <c r="P91" s="271">
        <f t="shared" ref="P91" si="105">SUM(P87:P90)</f>
        <v>320.35653518518518</v>
      </c>
      <c r="Q91" s="271">
        <f t="shared" si="102"/>
        <v>320.35653518518518</v>
      </c>
      <c r="R91" s="271">
        <f t="shared" si="102"/>
        <v>320.35653518518518</v>
      </c>
      <c r="S91" s="271">
        <f t="shared" si="102"/>
        <v>320.35653518518518</v>
      </c>
      <c r="T91" s="208"/>
    </row>
    <row r="92" spans="1:20" ht="6" customHeight="1" thickBot="1">
      <c r="A92" s="255"/>
      <c r="B92" s="200"/>
      <c r="C92" s="200"/>
      <c r="D92" s="200"/>
      <c r="E92" s="217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</row>
    <row r="93" spans="1:20" ht="20.25" customHeight="1" thickBot="1">
      <c r="A93" s="272"/>
      <c r="B93" s="622" t="s">
        <v>1018</v>
      </c>
      <c r="C93" s="623"/>
      <c r="D93" s="624"/>
      <c r="E93" s="273"/>
      <c r="F93" s="274">
        <f>F91+F84+F65+F55+F25</f>
        <v>25738.217349259259</v>
      </c>
      <c r="G93" s="274">
        <f>G91+G84+G65+G55+G25</f>
        <v>25738.217349259259</v>
      </c>
      <c r="H93" s="274">
        <f>H91+H84+H65+H55+H25</f>
        <v>25738.217349259259</v>
      </c>
      <c r="I93" s="274">
        <f>I91+I84+I65+I55+I25</f>
        <v>8095.7618460148151</v>
      </c>
      <c r="J93" s="274">
        <f>J91+J84+J65+J55+J25</f>
        <v>6390.9639208296303</v>
      </c>
      <c r="K93" s="274">
        <f>K91+K84+K65+K55+K25</f>
        <v>12110.674917614815</v>
      </c>
      <c r="L93" s="274">
        <f>L91+L84+L65+L55+L25</f>
        <v>9749.3058003259266</v>
      </c>
      <c r="M93" s="274">
        <f>M91+M84+M65+M55+M25</f>
        <v>10334.527221671111</v>
      </c>
      <c r="N93" s="274">
        <f>N91+N84+N65+N55+N25</f>
        <v>10334.527221671111</v>
      </c>
      <c r="O93" s="274">
        <f>O91+O84+O65+O55+O25</f>
        <v>8338.7700478666666</v>
      </c>
      <c r="P93" s="274">
        <f>P91+P84+P65+P55+P25</f>
        <v>8338.7700478666666</v>
      </c>
      <c r="Q93" s="274">
        <f>Q91+Q84+Q65+Q55+Q25</f>
        <v>6852.9513628000004</v>
      </c>
      <c r="R93" s="274">
        <f>R91+R84+R65+R55+R25</f>
        <v>5551.0086948888893</v>
      </c>
      <c r="S93" s="274">
        <f>S91+S84+S65+S55+S25</f>
        <v>4192.2236433333328</v>
      </c>
      <c r="T93" s="208"/>
    </row>
    <row r="94" spans="1:20" ht="9" customHeight="1" thickBot="1">
      <c r="A94" s="255"/>
      <c r="B94" s="200"/>
      <c r="C94" s="200"/>
      <c r="D94" s="200"/>
      <c r="E94" s="217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</row>
    <row r="95" spans="1:20" ht="16.5" thickBot="1">
      <c r="A95" s="275">
        <v>6</v>
      </c>
      <c r="B95" s="637" t="s">
        <v>1019</v>
      </c>
      <c r="C95" s="638"/>
      <c r="D95" s="639"/>
      <c r="E95" s="276" t="s">
        <v>955</v>
      </c>
      <c r="F95" s="277" t="s">
        <v>956</v>
      </c>
      <c r="G95" s="277" t="s">
        <v>956</v>
      </c>
      <c r="H95" s="277" t="s">
        <v>956</v>
      </c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 t="s">
        <v>956</v>
      </c>
      <c r="T95" s="208"/>
    </row>
    <row r="96" spans="1:20">
      <c r="A96" s="260" t="s">
        <v>937</v>
      </c>
      <c r="B96" s="612" t="s">
        <v>1020</v>
      </c>
      <c r="C96" s="613"/>
      <c r="D96" s="621"/>
      <c r="E96" s="398">
        <v>0.05</v>
      </c>
      <c r="F96" s="278">
        <f>$E$96*F93</f>
        <v>1286.9108674629631</v>
      </c>
      <c r="G96" s="278">
        <f>$E$96*G93</f>
        <v>1286.9108674629631</v>
      </c>
      <c r="H96" s="278">
        <f>$E$96*H93</f>
        <v>1286.9108674629631</v>
      </c>
      <c r="I96" s="278">
        <f t="shared" ref="I96:J96" si="106">$E$96*I93</f>
        <v>404.7880923007408</v>
      </c>
      <c r="J96" s="278">
        <f t="shared" si="106"/>
        <v>319.54819604148156</v>
      </c>
      <c r="K96" s="278">
        <f t="shared" ref="K96:S96" si="107">$E$96*K93</f>
        <v>605.53374588074075</v>
      </c>
      <c r="L96" s="278">
        <f t="shared" ref="L96" si="108">$E$96*L93</f>
        <v>487.46529001629636</v>
      </c>
      <c r="M96" s="278">
        <f t="shared" si="107"/>
        <v>516.72636108355562</v>
      </c>
      <c r="N96" s="278">
        <f t="shared" ref="N96:O96" si="109">$E$96*N93</f>
        <v>516.72636108355562</v>
      </c>
      <c r="O96" s="278">
        <f t="shared" si="109"/>
        <v>416.93850239333335</v>
      </c>
      <c r="P96" s="278">
        <f t="shared" ref="P96" si="110">$E$96*P93</f>
        <v>416.93850239333335</v>
      </c>
      <c r="Q96" s="278">
        <f t="shared" si="107"/>
        <v>342.64756814000003</v>
      </c>
      <c r="R96" s="278">
        <f t="shared" si="107"/>
        <v>277.55043474444449</v>
      </c>
      <c r="S96" s="278">
        <f t="shared" si="107"/>
        <v>209.61118216666665</v>
      </c>
      <c r="T96" s="208"/>
    </row>
    <row r="97" spans="1:20">
      <c r="A97" s="263" t="s">
        <v>939</v>
      </c>
      <c r="B97" s="684" t="s">
        <v>1021</v>
      </c>
      <c r="C97" s="685"/>
      <c r="D97" s="686"/>
      <c r="E97" s="399">
        <v>7.3999999999999996E-2</v>
      </c>
      <c r="F97" s="282">
        <f>$E$97*(F93+F96)</f>
        <v>1999.8594880374444</v>
      </c>
      <c r="G97" s="282">
        <f>$E$97*(G93+G96)</f>
        <v>1999.8594880374444</v>
      </c>
      <c r="H97" s="282">
        <f>$E$97*(H93+H96)</f>
        <v>1999.8594880374444</v>
      </c>
      <c r="I97" s="282">
        <f t="shared" ref="I97:J97" si="111">$E$97*(I93+I96)</f>
        <v>629.04069543535115</v>
      </c>
      <c r="J97" s="282">
        <f t="shared" si="111"/>
        <v>496.57789664846229</v>
      </c>
      <c r="K97" s="282">
        <f>$E$97*(K93+K96)</f>
        <v>940.99944109867113</v>
      </c>
      <c r="L97" s="282">
        <f t="shared" ref="L97" si="112">$E$97*(L93+L96)</f>
        <v>757.52106068532441</v>
      </c>
      <c r="M97" s="282">
        <f t="shared" ref="M97:S97" si="113">$E$97*(M93+M96)</f>
        <v>802.99276512384529</v>
      </c>
      <c r="N97" s="282">
        <f t="shared" si="113"/>
        <v>802.99276512384529</v>
      </c>
      <c r="O97" s="282">
        <f t="shared" si="113"/>
        <v>647.92243271923996</v>
      </c>
      <c r="P97" s="282">
        <f t="shared" si="113"/>
        <v>647.92243271923996</v>
      </c>
      <c r="Q97" s="282">
        <f t="shared" si="113"/>
        <v>532.47432088955998</v>
      </c>
      <c r="R97" s="282">
        <f t="shared" si="113"/>
        <v>431.31337559286669</v>
      </c>
      <c r="S97" s="282">
        <f t="shared" si="113"/>
        <v>325.73577708699992</v>
      </c>
      <c r="T97" s="208"/>
    </row>
    <row r="98" spans="1:20">
      <c r="A98" s="263"/>
      <c r="B98" s="279" t="s">
        <v>1022</v>
      </c>
      <c r="C98" s="280" t="s">
        <v>1023</v>
      </c>
      <c r="D98" s="281"/>
      <c r="E98" s="400">
        <f>1-(E99)</f>
        <v>0.88749999999999996</v>
      </c>
      <c r="F98" s="282">
        <f>(F93+F96+F97)/$E$98</f>
        <v>32704.211498320754</v>
      </c>
      <c r="G98" s="282">
        <f>(G93+G96+G97)/$E$98</f>
        <v>32704.211498320754</v>
      </c>
      <c r="H98" s="282">
        <f>(H93+H96+H97)/$E$98</f>
        <v>32704.211498320754</v>
      </c>
      <c r="I98" s="282">
        <f>(I93+I96+I97)/$E$98</f>
        <v>10286.862685916516</v>
      </c>
      <c r="J98" s="282">
        <f t="shared" ref="J98" si="114">(J93+J96+J97)/$E$98</f>
        <v>8120.6648039657175</v>
      </c>
      <c r="K98" s="282">
        <f t="shared" ref="K98:S98" si="115">(K93+K96+K97)/$E$98</f>
        <v>15388.403498134341</v>
      </c>
      <c r="L98" s="282">
        <f t="shared" ref="L98" si="116">(L93+L96+L97)/$E$98</f>
        <v>12387.93481805921</v>
      </c>
      <c r="M98" s="282">
        <f>(M93+M96+M97)/$E$98</f>
        <v>13131.545180708183</v>
      </c>
      <c r="N98" s="282">
        <f>(N93+N96+N97)/$E$98</f>
        <v>13131.545180708183</v>
      </c>
      <c r="O98" s="282">
        <f>(O93+O96+O97)/$E$98</f>
        <v>10595.640544201962</v>
      </c>
      <c r="P98" s="282">
        <f>(P93+P96+P97)/$E$98</f>
        <v>10595.640544201962</v>
      </c>
      <c r="Q98" s="282">
        <f t="shared" si="115"/>
        <v>8707.6881710755606</v>
      </c>
      <c r="R98" s="282">
        <f t="shared" si="115"/>
        <v>7053.3774706774093</v>
      </c>
      <c r="S98" s="282">
        <f t="shared" si="115"/>
        <v>5326.840115590986</v>
      </c>
      <c r="T98" s="208"/>
    </row>
    <row r="99" spans="1:20">
      <c r="A99" s="263" t="s">
        <v>942</v>
      </c>
      <c r="B99" s="597" t="s">
        <v>1024</v>
      </c>
      <c r="C99" s="598"/>
      <c r="D99" s="599"/>
      <c r="E99" s="401">
        <f>E100+E101+E102</f>
        <v>0.1125</v>
      </c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08"/>
    </row>
    <row r="100" spans="1:20">
      <c r="A100" s="263"/>
      <c r="B100" s="626" t="s">
        <v>931</v>
      </c>
      <c r="C100" s="627"/>
      <c r="D100" s="628"/>
      <c r="E100" s="399">
        <f>MC!C81</f>
        <v>7.5999999999999998E-2</v>
      </c>
      <c r="F100" s="284">
        <f>$E$100*F98</f>
        <v>2485.5200738723775</v>
      </c>
      <c r="G100" s="284">
        <f>$E$100*G98</f>
        <v>2485.5200738723775</v>
      </c>
      <c r="H100" s="284">
        <f>$E$100*H98</f>
        <v>2485.5200738723775</v>
      </c>
      <c r="I100" s="284">
        <f t="shared" ref="I100:J100" si="117">$E$100*I98</f>
        <v>781.80156412965516</v>
      </c>
      <c r="J100" s="284">
        <f t="shared" si="117"/>
        <v>617.17052510139456</v>
      </c>
      <c r="K100" s="284">
        <f t="shared" ref="K100:S100" si="118">$E$100*K98</f>
        <v>1169.5186658582099</v>
      </c>
      <c r="L100" s="284">
        <f t="shared" ref="L100" si="119">$E$100*L98</f>
        <v>941.48304617249994</v>
      </c>
      <c r="M100" s="284">
        <f t="shared" si="118"/>
        <v>997.99743373382182</v>
      </c>
      <c r="N100" s="284">
        <f t="shared" ref="N100:O100" si="120">$E$100*N98</f>
        <v>997.99743373382182</v>
      </c>
      <c r="O100" s="284">
        <f t="shared" si="120"/>
        <v>805.2686813593491</v>
      </c>
      <c r="P100" s="284">
        <f t="shared" ref="P100" si="121">$E$100*P98</f>
        <v>805.2686813593491</v>
      </c>
      <c r="Q100" s="284">
        <f>$E$100*Q98</f>
        <v>661.78430100174262</v>
      </c>
      <c r="R100" s="284">
        <f t="shared" si="118"/>
        <v>536.0566877714831</v>
      </c>
      <c r="S100" s="284">
        <f t="shared" si="118"/>
        <v>404.83984878491492</v>
      </c>
      <c r="T100" s="208"/>
    </row>
    <row r="101" spans="1:20">
      <c r="A101" s="265"/>
      <c r="B101" s="626" t="s">
        <v>932</v>
      </c>
      <c r="C101" s="627"/>
      <c r="D101" s="628"/>
      <c r="E101" s="399">
        <f>MC!C82</f>
        <v>1.6500000000000001E-2</v>
      </c>
      <c r="F101" s="284">
        <f>$E$101*F98</f>
        <v>539.61948972229243</v>
      </c>
      <c r="G101" s="284">
        <f>$E$101*G98</f>
        <v>539.61948972229243</v>
      </c>
      <c r="H101" s="284">
        <f>$E$101*H98</f>
        <v>539.61948972229243</v>
      </c>
      <c r="I101" s="284">
        <f t="shared" ref="I101:J101" si="122">$E$101*I98</f>
        <v>169.73323431762253</v>
      </c>
      <c r="J101" s="284">
        <f t="shared" si="122"/>
        <v>133.99096926543436</v>
      </c>
      <c r="K101" s="284">
        <f t="shared" ref="K101:S101" si="123">$E$101*K98</f>
        <v>253.90865771921665</v>
      </c>
      <c r="L101" s="284">
        <f t="shared" ref="L101" si="124">$E$101*L98</f>
        <v>204.40092449797697</v>
      </c>
      <c r="M101" s="284">
        <f t="shared" si="123"/>
        <v>216.67049548168504</v>
      </c>
      <c r="N101" s="284">
        <f t="shared" ref="N101:O101" si="125">$E$101*N98</f>
        <v>216.67049548168504</v>
      </c>
      <c r="O101" s="284">
        <f t="shared" si="125"/>
        <v>174.82806897933239</v>
      </c>
      <c r="P101" s="284">
        <f t="shared" ref="P101" si="126">$E$101*P98</f>
        <v>174.82806897933239</v>
      </c>
      <c r="Q101" s="284">
        <f t="shared" si="123"/>
        <v>143.67685482274675</v>
      </c>
      <c r="R101" s="284">
        <f>$E$101*R98</f>
        <v>116.38072826617726</v>
      </c>
      <c r="S101" s="284">
        <f t="shared" si="123"/>
        <v>87.892861907251273</v>
      </c>
      <c r="T101" s="208"/>
    </row>
    <row r="102" spans="1:20">
      <c r="A102" s="263"/>
      <c r="B102" s="597" t="s">
        <v>1025</v>
      </c>
      <c r="C102" s="598"/>
      <c r="D102" s="599"/>
      <c r="E102" s="399">
        <f>MC!C80</f>
        <v>0.02</v>
      </c>
      <c r="F102" s="284">
        <f>$E$102*F98</f>
        <v>654.08422996641514</v>
      </c>
      <c r="G102" s="284">
        <f>$E$102*G98</f>
        <v>654.08422996641514</v>
      </c>
      <c r="H102" s="284">
        <f>$E$102*H98</f>
        <v>654.08422996641514</v>
      </c>
      <c r="I102" s="284">
        <f t="shared" ref="I102:J102" si="127">$E$102*I98</f>
        <v>205.73725371833032</v>
      </c>
      <c r="J102" s="284">
        <f t="shared" si="127"/>
        <v>162.41329607931436</v>
      </c>
      <c r="K102" s="284">
        <f t="shared" ref="K102:S102" si="128">$E$102*K98</f>
        <v>307.76806996268681</v>
      </c>
      <c r="L102" s="284">
        <f t="shared" ref="L102" si="129">$E$102*L98</f>
        <v>247.75869636118421</v>
      </c>
      <c r="M102" s="284">
        <f t="shared" si="128"/>
        <v>262.63090361416369</v>
      </c>
      <c r="N102" s="284">
        <f t="shared" ref="N102:O102" si="130">$E$102*N98</f>
        <v>262.63090361416369</v>
      </c>
      <c r="O102" s="284">
        <f t="shared" si="130"/>
        <v>211.91281088403926</v>
      </c>
      <c r="P102" s="284">
        <f t="shared" ref="P102" si="131">$E$102*P98</f>
        <v>211.91281088403926</v>
      </c>
      <c r="Q102" s="284">
        <f>$E$102*Q98</f>
        <v>174.15376342151123</v>
      </c>
      <c r="R102" s="284">
        <f t="shared" si="128"/>
        <v>141.06754941354819</v>
      </c>
      <c r="S102" s="284">
        <f t="shared" si="128"/>
        <v>106.53680231181973</v>
      </c>
      <c r="T102" s="208"/>
    </row>
    <row r="103" spans="1:20" ht="23.25" customHeight="1" thickBot="1">
      <c r="A103" s="269"/>
      <c r="B103" s="640" t="s">
        <v>1026</v>
      </c>
      <c r="C103" s="641"/>
      <c r="D103" s="642"/>
      <c r="E103" s="285"/>
      <c r="F103" s="286">
        <f>F96+F97+F101+F102+F100</f>
        <v>6965.9941490614929</v>
      </c>
      <c r="G103" s="286">
        <f>G96+G97+G101+G102+G100</f>
        <v>6965.9941490614929</v>
      </c>
      <c r="H103" s="286">
        <f>H96+H97+H101+H102+H100</f>
        <v>6965.9941490614929</v>
      </c>
      <c r="I103" s="286">
        <f t="shared" ref="I103:J103" si="132">I96+I97+I101+I102+I100</f>
        <v>2191.1008399017001</v>
      </c>
      <c r="J103" s="286">
        <f t="shared" si="132"/>
        <v>1729.7008831360872</v>
      </c>
      <c r="K103" s="286">
        <f t="shared" ref="K103:Q103" si="133">K96+K97+K101+K102+K100</f>
        <v>3277.7285805195252</v>
      </c>
      <c r="L103" s="286">
        <f t="shared" ref="L103" si="134">L96+L97+L101+L102+L100</f>
        <v>2638.6290177332821</v>
      </c>
      <c r="M103" s="286">
        <f t="shared" si="133"/>
        <v>2797.0179590370713</v>
      </c>
      <c r="N103" s="286">
        <f t="shared" ref="N103:O103" si="135">N96+N97+N101+N102+N100</f>
        <v>2797.0179590370713</v>
      </c>
      <c r="O103" s="286">
        <f t="shared" si="135"/>
        <v>2256.8704963352939</v>
      </c>
      <c r="P103" s="286">
        <f t="shared" ref="P103" si="136">P96+P97+P101+P102+P100</f>
        <v>2256.8704963352939</v>
      </c>
      <c r="Q103" s="286">
        <f t="shared" si="133"/>
        <v>1854.7368082755606</v>
      </c>
      <c r="R103" s="286">
        <f>R96+R97+R101+R102+R100</f>
        <v>1502.3687757885195</v>
      </c>
      <c r="S103" s="286">
        <f>S96+S97+S101+S102+S100</f>
        <v>1134.6164722576525</v>
      </c>
      <c r="T103" s="208"/>
    </row>
    <row r="104" spans="1:20" ht="16.5" thickBot="1">
      <c r="A104" s="255"/>
      <c r="B104" s="200"/>
      <c r="C104" s="200"/>
      <c r="D104" s="200"/>
      <c r="E104" s="287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</row>
    <row r="105" spans="1:20" ht="20.100000000000001" customHeight="1" thickBot="1">
      <c r="A105" s="670" t="s">
        <v>1027</v>
      </c>
      <c r="B105" s="671"/>
      <c r="C105" s="671"/>
      <c r="D105" s="671"/>
      <c r="E105" s="671"/>
      <c r="F105" s="671"/>
      <c r="G105" s="671"/>
      <c r="H105" s="671"/>
      <c r="I105" s="671"/>
      <c r="J105" s="671"/>
      <c r="K105" s="671"/>
      <c r="L105" s="671"/>
      <c r="M105" s="671"/>
      <c r="N105" s="671"/>
      <c r="O105" s="671"/>
      <c r="P105" s="671"/>
      <c r="Q105" s="671"/>
      <c r="R105" s="671"/>
      <c r="S105" s="672"/>
      <c r="T105" s="208"/>
    </row>
    <row r="106" spans="1:20" ht="45" customHeight="1" thickBot="1">
      <c r="A106" s="288"/>
      <c r="B106" s="635" t="s">
        <v>1028</v>
      </c>
      <c r="C106" s="635"/>
      <c r="D106" s="635"/>
      <c r="E106" s="636"/>
      <c r="F106" s="416" t="str">
        <f>F17</f>
        <v>Engenheiro Eletricista</v>
      </c>
      <c r="G106" s="417" t="str">
        <f>G17</f>
        <v>Engenheiro Civil</v>
      </c>
      <c r="H106" s="417" t="str">
        <f>H17</f>
        <v>Engenheiro Mecânico</v>
      </c>
      <c r="I106" s="417" t="str">
        <f>I17</f>
        <v>Técnico Segurança</v>
      </c>
      <c r="J106" s="417" t="str">
        <f>J17</f>
        <v>Auxiliar técnico Engenharia</v>
      </c>
      <c r="K106" s="417" t="str">
        <f>K17</f>
        <v>Encarregado Geral</v>
      </c>
      <c r="L106" s="417" t="str">
        <f>L17</f>
        <v>Encarregado
Ar condic</v>
      </c>
      <c r="M106" s="417" t="str">
        <f>M17</f>
        <v>Técnico Eletroeletrônico</v>
      </c>
      <c r="N106" s="417" t="str">
        <f>N17</f>
        <v>Técnico Eletromecânico</v>
      </c>
      <c r="O106" s="417" t="str">
        <f>O17</f>
        <v>Técnico automação</v>
      </c>
      <c r="P106" s="417" t="str">
        <f>P17</f>
        <v>Técnico audio e video</v>
      </c>
      <c r="Q106" s="417" t="str">
        <f>Q17</f>
        <v>Eletricista</v>
      </c>
      <c r="R106" s="417" t="str">
        <f>R17</f>
        <v>Bombeiro</v>
      </c>
      <c r="S106" s="418" t="str">
        <f>S17</f>
        <v>Auxiliar de manutenção</v>
      </c>
      <c r="T106" s="208"/>
    </row>
    <row r="107" spans="1:20" ht="20.100000000000001" customHeight="1">
      <c r="A107" s="289">
        <v>1</v>
      </c>
      <c r="B107" s="588" t="s">
        <v>954</v>
      </c>
      <c r="C107" s="588"/>
      <c r="D107" s="588"/>
      <c r="E107" s="588"/>
      <c r="F107" s="383">
        <f>F25</f>
        <v>13778.5</v>
      </c>
      <c r="G107" s="383">
        <f>G25</f>
        <v>13778.5</v>
      </c>
      <c r="H107" s="383">
        <f>H25</f>
        <v>13778.5</v>
      </c>
      <c r="I107" s="383">
        <f>I25</f>
        <v>3716.38</v>
      </c>
      <c r="J107" s="383">
        <f>J25</f>
        <v>3037.88</v>
      </c>
      <c r="K107" s="383">
        <f>K25</f>
        <v>5875.22</v>
      </c>
      <c r="L107" s="383">
        <f>L25</f>
        <v>4510.3100000000004</v>
      </c>
      <c r="M107" s="383">
        <f>M25</f>
        <v>4831.2939999999999</v>
      </c>
      <c r="N107" s="383">
        <f>N25</f>
        <v>4831.2939999999999</v>
      </c>
      <c r="O107" s="383">
        <f>O25</f>
        <v>3716.38</v>
      </c>
      <c r="P107" s="383">
        <f>P25</f>
        <v>3716.38</v>
      </c>
      <c r="Q107" s="383">
        <f>Q25</f>
        <v>3151.7200000000003</v>
      </c>
      <c r="R107" s="383">
        <f>R25</f>
        <v>2424.4</v>
      </c>
      <c r="S107" s="384">
        <f>S25</f>
        <v>1639</v>
      </c>
      <c r="T107" s="208"/>
    </row>
    <row r="108" spans="1:20" ht="29.25" customHeight="1">
      <c r="A108" s="289">
        <v>2</v>
      </c>
      <c r="B108" s="588" t="s">
        <v>965</v>
      </c>
      <c r="C108" s="588"/>
      <c r="D108" s="588"/>
      <c r="E108" s="588"/>
      <c r="F108" s="290">
        <f t="shared" ref="F108:S108" si="137">F55</f>
        <v>8851.1448611111118</v>
      </c>
      <c r="G108" s="290">
        <f t="shared" ref="G108:I108" si="138">G55</f>
        <v>8851.1448611111118</v>
      </c>
      <c r="H108" s="290">
        <f t="shared" si="138"/>
        <v>8851.1448611111118</v>
      </c>
      <c r="I108" s="290">
        <f t="shared" si="138"/>
        <v>3463.5796444444445</v>
      </c>
      <c r="J108" s="290">
        <f t="shared" ref="J108" si="139">J55</f>
        <v>2590.3583555555556</v>
      </c>
      <c r="K108" s="290">
        <f t="shared" si="137"/>
        <v>4552.5944888888889</v>
      </c>
      <c r="L108" s="290">
        <f t="shared" ref="L108" si="140">L55</f>
        <v>3864.0732222222223</v>
      </c>
      <c r="M108" s="290">
        <f t="shared" si="137"/>
        <v>4092.8866577777781</v>
      </c>
      <c r="N108" s="290">
        <f t="shared" ref="N108:O108" si="141">N55</f>
        <v>4092.8866577777781</v>
      </c>
      <c r="O108" s="290">
        <f t="shared" si="141"/>
        <v>3463.5796444444445</v>
      </c>
      <c r="P108" s="290">
        <f t="shared" ref="P108" si="142">P55</f>
        <v>3463.5796444444445</v>
      </c>
      <c r="Q108" s="290">
        <f t="shared" si="137"/>
        <v>2669.8141111111108</v>
      </c>
      <c r="R108" s="290">
        <f t="shared" si="137"/>
        <v>2259.2823777777776</v>
      </c>
      <c r="S108" s="291">
        <f t="shared" si="137"/>
        <v>1863.091711111111</v>
      </c>
      <c r="T108" s="208"/>
    </row>
    <row r="109" spans="1:20" ht="20.100000000000001" customHeight="1">
      <c r="A109" s="289">
        <v>3</v>
      </c>
      <c r="B109" s="588" t="s">
        <v>989</v>
      </c>
      <c r="C109" s="588"/>
      <c r="D109" s="588"/>
      <c r="E109" s="588"/>
      <c r="F109" s="290">
        <f>F65</f>
        <v>1040.1236555555556</v>
      </c>
      <c r="G109" s="290">
        <f>G65</f>
        <v>1040.1236555555556</v>
      </c>
      <c r="H109" s="290">
        <f>H65</f>
        <v>1040.1236555555556</v>
      </c>
      <c r="I109" s="290">
        <f t="shared" ref="I109:J109" si="143">I65</f>
        <v>280.54539688888889</v>
      </c>
      <c r="J109" s="290">
        <f t="shared" si="143"/>
        <v>229.32618577777777</v>
      </c>
      <c r="K109" s="290">
        <f t="shared" ref="K109:Q109" si="144">K65</f>
        <v>443.51382977777786</v>
      </c>
      <c r="L109" s="290">
        <f t="shared" ref="L109" si="145">L65</f>
        <v>340.4782904444445</v>
      </c>
      <c r="M109" s="290">
        <f t="shared" si="144"/>
        <v>364.70901595555557</v>
      </c>
      <c r="N109" s="290">
        <f t="shared" ref="N109:O109" si="146">N65</f>
        <v>364.70901595555557</v>
      </c>
      <c r="O109" s="290">
        <f t="shared" si="146"/>
        <v>280.54539688888889</v>
      </c>
      <c r="P109" s="290">
        <f t="shared" ref="P109" si="147">P65</f>
        <v>280.54539688888889</v>
      </c>
      <c r="Q109" s="290">
        <f t="shared" si="144"/>
        <v>237.9198408888889</v>
      </c>
      <c r="R109" s="290">
        <f>R65</f>
        <v>183.01526222222222</v>
      </c>
      <c r="S109" s="291">
        <f>S65</f>
        <v>123.72628888888892</v>
      </c>
      <c r="T109" s="208"/>
    </row>
    <row r="110" spans="1:20" ht="20.100000000000001" customHeight="1">
      <c r="A110" s="289">
        <v>4</v>
      </c>
      <c r="B110" s="588" t="s">
        <v>996</v>
      </c>
      <c r="C110" s="588"/>
      <c r="D110" s="588"/>
      <c r="E110" s="588"/>
      <c r="F110" s="290">
        <f>F84</f>
        <v>2068.4488325925927</v>
      </c>
      <c r="G110" s="290">
        <f>G84</f>
        <v>2068.4488325925927</v>
      </c>
      <c r="H110" s="290">
        <f>H84</f>
        <v>2068.4488325925927</v>
      </c>
      <c r="I110" s="290">
        <f t="shared" ref="I110:J110" si="148">I84</f>
        <v>557.90847134814817</v>
      </c>
      <c r="J110" s="290">
        <f t="shared" si="148"/>
        <v>456.05104616296296</v>
      </c>
      <c r="K110" s="290">
        <f t="shared" ref="K110:R110" si="149">K84</f>
        <v>881.99673042962968</v>
      </c>
      <c r="L110" s="290">
        <f t="shared" ref="L110" si="150">L84</f>
        <v>677.0944191407408</v>
      </c>
      <c r="M110" s="290">
        <f t="shared" si="149"/>
        <v>725.28101275259246</v>
      </c>
      <c r="N110" s="290">
        <f t="shared" ref="N110:O110" si="151">N84</f>
        <v>725.28101275259246</v>
      </c>
      <c r="O110" s="290">
        <f t="shared" si="151"/>
        <v>557.90847134814817</v>
      </c>
      <c r="P110" s="290">
        <f t="shared" ref="P110" si="152">P84</f>
        <v>557.90847134814817</v>
      </c>
      <c r="Q110" s="290">
        <f t="shared" si="149"/>
        <v>473.14087561481483</v>
      </c>
      <c r="R110" s="290">
        <f t="shared" si="149"/>
        <v>363.95451970370368</v>
      </c>
      <c r="S110" s="291">
        <f>S84</f>
        <v>246.04910814814815</v>
      </c>
      <c r="T110" s="208"/>
    </row>
    <row r="111" spans="1:20" s="157" customFormat="1" ht="20.100000000000001" customHeight="1">
      <c r="A111" s="289">
        <v>5</v>
      </c>
      <c r="B111" s="588" t="s">
        <v>1012</v>
      </c>
      <c r="C111" s="588"/>
      <c r="D111" s="588"/>
      <c r="E111" s="588"/>
      <c r="F111" s="290">
        <f>F91</f>
        <v>0</v>
      </c>
      <c r="G111" s="290">
        <f>G91</f>
        <v>0</v>
      </c>
      <c r="H111" s="290">
        <f>H91</f>
        <v>0</v>
      </c>
      <c r="I111" s="290">
        <f t="shared" ref="I111:J111" si="153">I91</f>
        <v>77.348333333333329</v>
      </c>
      <c r="J111" s="290">
        <f t="shared" si="153"/>
        <v>77.348333333333329</v>
      </c>
      <c r="K111" s="290">
        <f t="shared" ref="K111:R111" si="154">K91</f>
        <v>357.34986851851852</v>
      </c>
      <c r="L111" s="290">
        <f t="shared" ref="L111" si="155">L91</f>
        <v>357.34986851851852</v>
      </c>
      <c r="M111" s="290">
        <f t="shared" si="154"/>
        <v>320.35653518518518</v>
      </c>
      <c r="N111" s="290">
        <f t="shared" ref="N111:O111" si="156">N91</f>
        <v>320.35653518518518</v>
      </c>
      <c r="O111" s="290">
        <f t="shared" si="156"/>
        <v>320.35653518518518</v>
      </c>
      <c r="P111" s="290">
        <f t="shared" ref="P111" si="157">P91</f>
        <v>320.35653518518518</v>
      </c>
      <c r="Q111" s="290">
        <f t="shared" si="154"/>
        <v>320.35653518518518</v>
      </c>
      <c r="R111" s="290">
        <f t="shared" si="154"/>
        <v>320.35653518518518</v>
      </c>
      <c r="S111" s="291">
        <f>S91</f>
        <v>320.35653518518518</v>
      </c>
      <c r="T111" s="208"/>
    </row>
    <row r="112" spans="1:20" s="157" customFormat="1" ht="20.100000000000001" customHeight="1" thickBot="1">
      <c r="A112" s="292">
        <v>6</v>
      </c>
      <c r="B112" s="665" t="s">
        <v>1019</v>
      </c>
      <c r="C112" s="665"/>
      <c r="D112" s="665"/>
      <c r="E112" s="665"/>
      <c r="F112" s="293">
        <f>F103</f>
        <v>6965.9941490614929</v>
      </c>
      <c r="G112" s="293">
        <f>G103</f>
        <v>6965.9941490614929</v>
      </c>
      <c r="H112" s="293">
        <f>H103</f>
        <v>6965.9941490614929</v>
      </c>
      <c r="I112" s="293">
        <f t="shared" ref="I112:J112" si="158">I103</f>
        <v>2191.1008399017001</v>
      </c>
      <c r="J112" s="293">
        <f t="shared" si="158"/>
        <v>1729.7008831360872</v>
      </c>
      <c r="K112" s="293">
        <f t="shared" ref="K112:R112" si="159">K103</f>
        <v>3277.7285805195252</v>
      </c>
      <c r="L112" s="293">
        <f t="shared" ref="L112" si="160">L103</f>
        <v>2638.6290177332821</v>
      </c>
      <c r="M112" s="293">
        <f t="shared" si="159"/>
        <v>2797.0179590370713</v>
      </c>
      <c r="N112" s="293">
        <f t="shared" ref="N112:O112" si="161">N103</f>
        <v>2797.0179590370713</v>
      </c>
      <c r="O112" s="293">
        <f t="shared" si="161"/>
        <v>2256.8704963352939</v>
      </c>
      <c r="P112" s="293">
        <f t="shared" ref="P112" si="162">P103</f>
        <v>2256.8704963352939</v>
      </c>
      <c r="Q112" s="293">
        <f t="shared" si="159"/>
        <v>1854.7368082755606</v>
      </c>
      <c r="R112" s="293">
        <f t="shared" si="159"/>
        <v>1502.3687757885195</v>
      </c>
      <c r="S112" s="294">
        <f>S103</f>
        <v>1134.6164722576525</v>
      </c>
      <c r="T112" s="208"/>
    </row>
    <row r="113" spans="1:20" s="157" customFormat="1" ht="20.100000000000001" customHeight="1" thickBot="1">
      <c r="A113" s="295"/>
      <c r="B113" s="677" t="s">
        <v>1029</v>
      </c>
      <c r="C113" s="678"/>
      <c r="D113" s="678"/>
      <c r="E113" s="679"/>
      <c r="F113" s="296">
        <f>ROUND(SUM(F107:F112),2)</f>
        <v>32704.21</v>
      </c>
      <c r="G113" s="296">
        <f t="shared" ref="G113:S113" si="163">ROUND(SUM(G107:G112),2)</f>
        <v>32704.21</v>
      </c>
      <c r="H113" s="296">
        <f t="shared" si="163"/>
        <v>32704.21</v>
      </c>
      <c r="I113" s="296">
        <f t="shared" si="163"/>
        <v>10286.86</v>
      </c>
      <c r="J113" s="296">
        <f t="shared" si="163"/>
        <v>8120.66</v>
      </c>
      <c r="K113" s="296">
        <f t="shared" si="163"/>
        <v>15388.4</v>
      </c>
      <c r="L113" s="296">
        <f t="shared" si="163"/>
        <v>12387.93</v>
      </c>
      <c r="M113" s="296">
        <f t="shared" si="163"/>
        <v>13131.55</v>
      </c>
      <c r="N113" s="296">
        <f t="shared" si="163"/>
        <v>13131.55</v>
      </c>
      <c r="O113" s="296">
        <f t="shared" si="163"/>
        <v>10595.64</v>
      </c>
      <c r="P113" s="296">
        <f t="shared" si="163"/>
        <v>10595.64</v>
      </c>
      <c r="Q113" s="296">
        <f t="shared" si="163"/>
        <v>8707.69</v>
      </c>
      <c r="R113" s="296">
        <f t="shared" si="163"/>
        <v>7053.38</v>
      </c>
      <c r="S113" s="296">
        <f t="shared" si="163"/>
        <v>5326.84</v>
      </c>
      <c r="T113" s="208"/>
    </row>
    <row r="114" spans="1:20" s="157" customFormat="1" ht="9" customHeight="1" thickBot="1">
      <c r="A114" s="255"/>
      <c r="B114" s="297"/>
      <c r="C114" s="297"/>
      <c r="D114" s="297"/>
      <c r="E114" s="297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08"/>
    </row>
    <row r="115" spans="1:20" s="157" customFormat="1" ht="19.5" customHeight="1">
      <c r="A115" s="681" t="s">
        <v>1030</v>
      </c>
      <c r="B115" s="682"/>
      <c r="C115" s="682"/>
      <c r="D115" s="682"/>
      <c r="E115" s="682"/>
      <c r="F115" s="682"/>
      <c r="G115" s="682"/>
      <c r="H115" s="682"/>
      <c r="I115" s="682"/>
      <c r="J115" s="682"/>
      <c r="K115" s="682"/>
      <c r="L115" s="682"/>
      <c r="M115" s="682"/>
      <c r="N115" s="682"/>
      <c r="O115" s="682"/>
      <c r="P115" s="682"/>
      <c r="Q115" s="682"/>
      <c r="R115" s="682"/>
      <c r="S115" s="683"/>
      <c r="T115" s="208"/>
    </row>
    <row r="116" spans="1:20" s="157" customFormat="1" ht="36.75" customHeight="1">
      <c r="A116" s="298"/>
      <c r="B116" s="587"/>
      <c r="C116" s="587"/>
      <c r="D116" s="587"/>
      <c r="E116" s="587"/>
      <c r="F116" s="415" t="str">
        <f>F106</f>
        <v>Engenheiro Eletricista</v>
      </c>
      <c r="G116" s="415" t="str">
        <f t="shared" ref="G116:S116" si="164">G106</f>
        <v>Engenheiro Civil</v>
      </c>
      <c r="H116" s="415" t="str">
        <f t="shared" si="164"/>
        <v>Engenheiro Mecânico</v>
      </c>
      <c r="I116" s="415" t="str">
        <f t="shared" si="164"/>
        <v>Técnico Segurança</v>
      </c>
      <c r="J116" s="415" t="str">
        <f t="shared" si="164"/>
        <v>Auxiliar técnico Engenharia</v>
      </c>
      <c r="K116" s="415" t="str">
        <f t="shared" si="164"/>
        <v>Encarregado Geral</v>
      </c>
      <c r="L116" s="415" t="str">
        <f t="shared" si="164"/>
        <v>Encarregado
Ar condic</v>
      </c>
      <c r="M116" s="415" t="str">
        <f t="shared" si="164"/>
        <v>Técnico Eletroeletrônico</v>
      </c>
      <c r="N116" s="415" t="str">
        <f t="shared" si="164"/>
        <v>Técnico Eletromecânico</v>
      </c>
      <c r="O116" s="415" t="str">
        <f t="shared" si="164"/>
        <v>Técnico automação</v>
      </c>
      <c r="P116" s="415" t="str">
        <f t="shared" si="164"/>
        <v>Técnico audio e video</v>
      </c>
      <c r="Q116" s="415" t="str">
        <f t="shared" si="164"/>
        <v>Eletricista</v>
      </c>
      <c r="R116" s="415" t="str">
        <f t="shared" si="164"/>
        <v>Bombeiro</v>
      </c>
      <c r="S116" s="415" t="str">
        <f t="shared" si="164"/>
        <v>Auxiliar de manutenção</v>
      </c>
      <c r="T116" s="208"/>
    </row>
    <row r="117" spans="1:20" s="157" customFormat="1" ht="29.25" customHeight="1">
      <c r="A117" s="299"/>
      <c r="B117" s="680" t="s">
        <v>1031</v>
      </c>
      <c r="C117" s="680"/>
      <c r="D117" s="680"/>
      <c r="E117" s="680"/>
      <c r="F117" s="300">
        <f>F113</f>
        <v>32704.21</v>
      </c>
      <c r="G117" s="300">
        <f>G113</f>
        <v>32704.21</v>
      </c>
      <c r="H117" s="300">
        <f>G120*80</f>
        <v>14865.550000000001</v>
      </c>
      <c r="I117" s="300">
        <f t="shared" ref="I117:J117" si="165">I113</f>
        <v>10286.86</v>
      </c>
      <c r="J117" s="300">
        <f t="shared" si="165"/>
        <v>8120.66</v>
      </c>
      <c r="K117" s="300">
        <f t="shared" ref="K117:S117" si="166">K113</f>
        <v>15388.4</v>
      </c>
      <c r="L117" s="300">
        <f t="shared" ref="L117" si="167">L113</f>
        <v>12387.93</v>
      </c>
      <c r="M117" s="300">
        <f t="shared" si="166"/>
        <v>13131.55</v>
      </c>
      <c r="N117" s="300">
        <f t="shared" ref="N117:O117" si="168">N113</f>
        <v>13131.55</v>
      </c>
      <c r="O117" s="300">
        <f t="shared" si="168"/>
        <v>10595.64</v>
      </c>
      <c r="P117" s="300">
        <f t="shared" ref="P117" si="169">P113</f>
        <v>10595.64</v>
      </c>
      <c r="Q117" s="300">
        <f t="shared" si="166"/>
        <v>8707.69</v>
      </c>
      <c r="R117" s="300">
        <f t="shared" si="166"/>
        <v>7053.38</v>
      </c>
      <c r="S117" s="301">
        <f t="shared" si="166"/>
        <v>5326.84</v>
      </c>
      <c r="T117" s="208"/>
    </row>
    <row r="119" spans="1:20">
      <c r="B119" s="664" t="s">
        <v>1037</v>
      </c>
      <c r="C119" s="664"/>
      <c r="D119" s="664"/>
      <c r="E119" s="664"/>
      <c r="F119" s="47" t="s">
        <v>1283</v>
      </c>
      <c r="G119" s="47" t="s">
        <v>1266</v>
      </c>
    </row>
    <row r="120" spans="1:20">
      <c r="B120" s="664"/>
      <c r="C120" s="664"/>
      <c r="D120" s="664"/>
      <c r="E120" s="664"/>
      <c r="F120" s="419">
        <f>H113</f>
        <v>32704.21</v>
      </c>
      <c r="G120" s="420">
        <f>F120/176</f>
        <v>185.81937500000001</v>
      </c>
    </row>
  </sheetData>
  <mergeCells count="102">
    <mergeCell ref="B52:D52"/>
    <mergeCell ref="B119:E120"/>
    <mergeCell ref="B112:E112"/>
    <mergeCell ref="B67:S67"/>
    <mergeCell ref="B69:D69"/>
    <mergeCell ref="A105:S105"/>
    <mergeCell ref="B86:D86"/>
    <mergeCell ref="B87:D87"/>
    <mergeCell ref="B88:D88"/>
    <mergeCell ref="B89:D89"/>
    <mergeCell ref="B91:D91"/>
    <mergeCell ref="B79:D79"/>
    <mergeCell ref="B80:D80"/>
    <mergeCell ref="B81:D81"/>
    <mergeCell ref="B82:D82"/>
    <mergeCell ref="B72:D72"/>
    <mergeCell ref="B73:D73"/>
    <mergeCell ref="B113:E113"/>
    <mergeCell ref="B117:E117"/>
    <mergeCell ref="B109:E109"/>
    <mergeCell ref="B110:E110"/>
    <mergeCell ref="A115:S115"/>
    <mergeCell ref="B97:D97"/>
    <mergeCell ref="B101:D101"/>
    <mergeCell ref="B70:D70"/>
    <mergeCell ref="A17:E17"/>
    <mergeCell ref="A16:S16"/>
    <mergeCell ref="A1:S1"/>
    <mergeCell ref="A4:S4"/>
    <mergeCell ref="A2:S2"/>
    <mergeCell ref="B21:D21"/>
    <mergeCell ref="B18:D18"/>
    <mergeCell ref="B19:D19"/>
    <mergeCell ref="A10:S10"/>
    <mergeCell ref="B20:D20"/>
    <mergeCell ref="A3:S3"/>
    <mergeCell ref="B11:E11"/>
    <mergeCell ref="B12:E12"/>
    <mergeCell ref="B13:E13"/>
    <mergeCell ref="B14:E14"/>
    <mergeCell ref="B15:E15"/>
    <mergeCell ref="F11:S11"/>
    <mergeCell ref="B51:D51"/>
    <mergeCell ref="B53:D53"/>
    <mergeCell ref="B29:D29"/>
    <mergeCell ref="B60:D60"/>
    <mergeCell ref="B59:D59"/>
    <mergeCell ref="B58:D58"/>
    <mergeCell ref="B22:D22"/>
    <mergeCell ref="B23:D23"/>
    <mergeCell ref="B24:D24"/>
    <mergeCell ref="B25:D25"/>
    <mergeCell ref="B49:D49"/>
    <mergeCell ref="B50:D50"/>
    <mergeCell ref="B31:D31"/>
    <mergeCell ref="B36:D36"/>
    <mergeCell ref="B32:D32"/>
    <mergeCell ref="B27:D27"/>
    <mergeCell ref="B33:D33"/>
    <mergeCell ref="B41:D41"/>
    <mergeCell ref="B42:D42"/>
    <mergeCell ref="B43:D43"/>
    <mergeCell ref="B37:D37"/>
    <mergeCell ref="B38:D38"/>
    <mergeCell ref="B39:D39"/>
    <mergeCell ref="B40:D40"/>
    <mergeCell ref="B107:E107"/>
    <mergeCell ref="B90:D90"/>
    <mergeCell ref="B61:D61"/>
    <mergeCell ref="B62:D62"/>
    <mergeCell ref="B63:D63"/>
    <mergeCell ref="B75:D75"/>
    <mergeCell ref="B76:D76"/>
    <mergeCell ref="B100:D100"/>
    <mergeCell ref="B84:D84"/>
    <mergeCell ref="B106:E106"/>
    <mergeCell ref="B95:D95"/>
    <mergeCell ref="B103:D103"/>
    <mergeCell ref="B116:E116"/>
    <mergeCell ref="B111:E111"/>
    <mergeCell ref="B5:E5"/>
    <mergeCell ref="B6:E6"/>
    <mergeCell ref="B7:E7"/>
    <mergeCell ref="B8:E8"/>
    <mergeCell ref="A9:S9"/>
    <mergeCell ref="B102:D102"/>
    <mergeCell ref="B64:D64"/>
    <mergeCell ref="B45:D45"/>
    <mergeCell ref="B55:D55"/>
    <mergeCell ref="B65:D65"/>
    <mergeCell ref="B44:D44"/>
    <mergeCell ref="B71:D71"/>
    <mergeCell ref="B30:D30"/>
    <mergeCell ref="B35:D35"/>
    <mergeCell ref="B47:D47"/>
    <mergeCell ref="B48:D48"/>
    <mergeCell ref="B74:D74"/>
    <mergeCell ref="B108:E108"/>
    <mergeCell ref="B96:D96"/>
    <mergeCell ref="B99:D99"/>
    <mergeCell ref="B93:D93"/>
    <mergeCell ref="B77:D77"/>
  </mergeCells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CE52-CA1A-4189-B21D-7D0A3E3FD894}">
  <sheetPr>
    <tabColor theme="4" tint="0.59999389629810485"/>
    <pageSetUpPr fitToPage="1"/>
  </sheetPr>
  <dimension ref="A1:Y90"/>
  <sheetViews>
    <sheetView topLeftCell="A27" zoomScale="85" zoomScaleNormal="85" workbookViewId="0">
      <selection activeCell="C36" sqref="C36"/>
    </sheetView>
  </sheetViews>
  <sheetFormatPr defaultRowHeight="15"/>
  <cols>
    <col min="1" max="1" width="10.7109375" customWidth="1"/>
    <col min="2" max="2" width="45.7109375" customWidth="1"/>
    <col min="3" max="4" width="10.7109375" customWidth="1"/>
    <col min="5" max="5" width="75.140625" customWidth="1"/>
    <col min="6" max="6" width="4.5703125" customWidth="1"/>
    <col min="7" max="12" width="10.7109375" customWidth="1"/>
    <col min="13" max="13" width="1.85546875" customWidth="1"/>
    <col min="14" max="17" width="10.7109375" customWidth="1"/>
    <col min="18" max="18" width="1.7109375" customWidth="1"/>
    <col min="19" max="20" width="9.5703125" bestFit="1" customWidth="1"/>
    <col min="21" max="21" width="10.140625" customWidth="1"/>
    <col min="22" max="22" width="2" customWidth="1"/>
    <col min="23" max="24" width="9.5703125" bestFit="1" customWidth="1"/>
    <col min="25" max="25" width="9.28515625" customWidth="1"/>
  </cols>
  <sheetData>
    <row r="1" spans="1:25" ht="20.25">
      <c r="A1" s="727" t="s">
        <v>1070</v>
      </c>
      <c r="B1" s="727"/>
      <c r="C1" s="727"/>
      <c r="D1" s="727"/>
      <c r="E1" s="727"/>
    </row>
    <row r="2" spans="1:25" ht="15.75">
      <c r="A2" s="315"/>
      <c r="B2" s="315"/>
      <c r="C2" s="315"/>
      <c r="D2" s="315"/>
      <c r="E2" s="315"/>
      <c r="G2" s="700"/>
      <c r="H2" s="700"/>
      <c r="I2" s="700"/>
      <c r="J2" s="700"/>
      <c r="K2" s="700"/>
      <c r="L2" s="700"/>
      <c r="N2" s="700" t="s">
        <v>1208</v>
      </c>
      <c r="O2" s="700"/>
      <c r="P2" s="700"/>
      <c r="Q2" s="700"/>
      <c r="S2" s="700" t="s">
        <v>1219</v>
      </c>
      <c r="T2" s="700"/>
      <c r="U2" s="700"/>
      <c r="W2" s="700"/>
      <c r="X2" s="700"/>
      <c r="Y2" s="700"/>
    </row>
    <row r="3" spans="1:25" ht="30">
      <c r="A3" s="720" t="s">
        <v>1071</v>
      </c>
      <c r="B3" s="721"/>
      <c r="C3" s="721"/>
      <c r="D3" s="721"/>
      <c r="E3" s="722"/>
      <c r="G3" s="312"/>
      <c r="H3" s="312"/>
      <c r="I3" s="312"/>
      <c r="J3" s="312"/>
      <c r="K3" s="312"/>
      <c r="L3" s="312"/>
      <c r="N3" s="312" t="s">
        <v>1202</v>
      </c>
      <c r="O3" s="312" t="s">
        <v>1204</v>
      </c>
      <c r="P3" s="312" t="s">
        <v>821</v>
      </c>
      <c r="Q3" s="312" t="s">
        <v>1072</v>
      </c>
      <c r="S3" s="312" t="s">
        <v>821</v>
      </c>
      <c r="T3" s="312" t="s">
        <v>31</v>
      </c>
      <c r="U3" s="312" t="s">
        <v>1072</v>
      </c>
      <c r="W3" s="312"/>
      <c r="X3" s="312"/>
      <c r="Y3" s="312"/>
    </row>
    <row r="4" spans="1:25" ht="215.25" customHeight="1">
      <c r="A4" s="690" t="s">
        <v>1779</v>
      </c>
      <c r="B4" s="691"/>
      <c r="C4" s="691"/>
      <c r="D4" s="691"/>
      <c r="E4" s="692"/>
      <c r="G4" s="313"/>
      <c r="H4" s="313"/>
      <c r="I4" s="313"/>
      <c r="J4" s="313"/>
      <c r="K4" s="313"/>
      <c r="L4" s="316"/>
      <c r="N4" s="313">
        <v>6854.21</v>
      </c>
      <c r="O4" s="313">
        <v>4275.18</v>
      </c>
      <c r="P4" s="313">
        <v>6496.28</v>
      </c>
      <c r="Q4" s="316">
        <f>ROUND(AVERAGE(N4:P4),2)</f>
        <v>5875.22</v>
      </c>
      <c r="S4" s="402">
        <v>2238.1</v>
      </c>
      <c r="T4" s="313">
        <v>3837.65</v>
      </c>
      <c r="U4" s="316">
        <f>ROUND(AVERAGE(S4:T4),2)</f>
        <v>3037.88</v>
      </c>
      <c r="W4" s="313"/>
      <c r="X4" s="313"/>
      <c r="Y4" s="316"/>
    </row>
    <row r="5" spans="1:25" ht="15.75">
      <c r="A5" s="315"/>
      <c r="B5" s="315"/>
      <c r="C5" s="315"/>
      <c r="D5" s="315"/>
      <c r="E5" s="315"/>
    </row>
    <row r="6" spans="1:25" ht="18">
      <c r="A6" s="720" t="s">
        <v>1073</v>
      </c>
      <c r="B6" s="721"/>
      <c r="C6" s="721"/>
      <c r="D6" s="721"/>
      <c r="E6" s="722"/>
      <c r="S6" t="s">
        <v>1281</v>
      </c>
    </row>
    <row r="7" spans="1:25" ht="15.75">
      <c r="A7" s="687" t="s">
        <v>1074</v>
      </c>
      <c r="B7" s="688"/>
      <c r="C7" s="688"/>
      <c r="D7" s="688"/>
      <c r="E7" s="689"/>
      <c r="S7">
        <f>6531.29/1.7019</f>
        <v>3837.6461601739234</v>
      </c>
      <c r="T7" t="s">
        <v>1282</v>
      </c>
    </row>
    <row r="8" spans="1:25" ht="31.5">
      <c r="A8" s="317" t="s">
        <v>83</v>
      </c>
      <c r="B8" s="317" t="s">
        <v>1075</v>
      </c>
      <c r="C8" s="317" t="s">
        <v>1076</v>
      </c>
      <c r="D8" s="317" t="s">
        <v>967</v>
      </c>
      <c r="E8" s="317" t="s">
        <v>1077</v>
      </c>
    </row>
    <row r="9" spans="1:25" ht="31.5">
      <c r="A9" s="318" t="s">
        <v>937</v>
      </c>
      <c r="B9" s="319" t="s">
        <v>1078</v>
      </c>
      <c r="C9" s="320" t="s">
        <v>1079</v>
      </c>
      <c r="D9" s="321">
        <f>TRUNC(1/12,4)</f>
        <v>8.3299999999999999E-2</v>
      </c>
      <c r="E9" s="322" t="s">
        <v>1080</v>
      </c>
    </row>
    <row r="10" spans="1:25" ht="31.5">
      <c r="A10" s="318" t="s">
        <v>939</v>
      </c>
      <c r="B10" s="319" t="s">
        <v>969</v>
      </c>
      <c r="C10" s="320" t="s">
        <v>1079</v>
      </c>
      <c r="D10" s="321">
        <f>ROUND((1/12/3),4)</f>
        <v>2.7799999999999998E-2</v>
      </c>
      <c r="E10" s="322" t="s">
        <v>1081</v>
      </c>
    </row>
    <row r="11" spans="1:25" ht="15.75">
      <c r="A11" s="723" t="s">
        <v>1082</v>
      </c>
      <c r="B11" s="723"/>
      <c r="C11" s="723"/>
      <c r="D11" s="323">
        <f>TRUNC(SUM(D9:D10),4)</f>
        <v>0.1111</v>
      </c>
      <c r="E11" s="324" t="s">
        <v>1083</v>
      </c>
    </row>
    <row r="12" spans="1:25" ht="31.5">
      <c r="A12" s="318" t="s">
        <v>942</v>
      </c>
      <c r="B12" s="319" t="s">
        <v>1084</v>
      </c>
      <c r="C12" s="320" t="s">
        <v>1079</v>
      </c>
      <c r="D12" s="321">
        <f>TRUNC(D27*D11,4)</f>
        <v>4.53E-2</v>
      </c>
      <c r="E12" s="322" t="s">
        <v>1085</v>
      </c>
    </row>
    <row r="13" spans="1:25" ht="15.75">
      <c r="A13" s="723" t="str">
        <f>A29</f>
        <v>Submódulo 2.3 Beneficios Mensais e Diarios</v>
      </c>
      <c r="B13" s="723"/>
      <c r="C13" s="723"/>
      <c r="D13" s="323">
        <f>TRUNC(SUM(D11:D12),4)</f>
        <v>0.15640000000000001</v>
      </c>
      <c r="E13" s="324" t="s">
        <v>1083</v>
      </c>
    </row>
    <row r="14" spans="1:25" ht="15.75">
      <c r="A14" s="325"/>
      <c r="B14" s="325"/>
      <c r="C14" s="325"/>
      <c r="D14" s="325"/>
      <c r="E14" s="325"/>
    </row>
    <row r="15" spans="1:25" ht="15.75">
      <c r="A15" s="687" t="s">
        <v>1086</v>
      </c>
      <c r="B15" s="688"/>
      <c r="C15" s="688"/>
      <c r="D15" s="688"/>
      <c r="E15" s="689"/>
    </row>
    <row r="16" spans="1:25" ht="15.75">
      <c r="A16" s="317" t="s">
        <v>87</v>
      </c>
      <c r="B16" s="723" t="s">
        <v>1087</v>
      </c>
      <c r="C16" s="723"/>
      <c r="D16" s="317" t="s">
        <v>967</v>
      </c>
      <c r="E16" s="317" t="s">
        <v>1077</v>
      </c>
    </row>
    <row r="17" spans="1:5" ht="15.75">
      <c r="A17" s="318" t="s">
        <v>937</v>
      </c>
      <c r="B17" s="690" t="s">
        <v>1088</v>
      </c>
      <c r="C17" s="692"/>
      <c r="D17" s="321">
        <f>TRUNC(20%,4)</f>
        <v>0.2</v>
      </c>
      <c r="E17" s="322" t="s">
        <v>1089</v>
      </c>
    </row>
    <row r="18" spans="1:5" ht="31.5">
      <c r="A18" s="318" t="s">
        <v>939</v>
      </c>
      <c r="B18" s="690" t="s">
        <v>1090</v>
      </c>
      <c r="C18" s="692"/>
      <c r="D18" s="321">
        <f>TRUNC(2.5%,4)</f>
        <v>2.5000000000000001E-2</v>
      </c>
      <c r="E18" s="322" t="s">
        <v>1091</v>
      </c>
    </row>
    <row r="19" spans="1:5" ht="91.5" customHeight="1">
      <c r="A19" s="728" t="s">
        <v>942</v>
      </c>
      <c r="B19" s="730" t="s">
        <v>1092</v>
      </c>
      <c r="C19" s="731"/>
      <c r="D19" s="724">
        <f>TRUNC(3*2%,4)</f>
        <v>0.06</v>
      </c>
      <c r="E19" s="322" t="s">
        <v>1093</v>
      </c>
    </row>
    <row r="20" spans="1:5" ht="61.5" customHeight="1">
      <c r="A20" s="729"/>
      <c r="B20" s="732"/>
      <c r="C20" s="733"/>
      <c r="D20" s="725"/>
      <c r="E20" s="322" t="s">
        <v>1210</v>
      </c>
    </row>
    <row r="21" spans="1:5" ht="15.75">
      <c r="A21" s="318" t="s">
        <v>944</v>
      </c>
      <c r="B21" s="690" t="s">
        <v>1094</v>
      </c>
      <c r="C21" s="692"/>
      <c r="D21" s="321">
        <f>TRUNC(1.5%,4)</f>
        <v>1.4999999999999999E-2</v>
      </c>
      <c r="E21" s="322" t="s">
        <v>1095</v>
      </c>
    </row>
    <row r="22" spans="1:5" ht="15.75">
      <c r="A22" s="318" t="s">
        <v>945</v>
      </c>
      <c r="B22" s="690" t="s">
        <v>1096</v>
      </c>
      <c r="C22" s="692"/>
      <c r="D22" s="321">
        <f>TRUNC(1%,4)</f>
        <v>0.01</v>
      </c>
      <c r="E22" s="322" t="s">
        <v>1097</v>
      </c>
    </row>
    <row r="23" spans="1:5" ht="15.75">
      <c r="A23" s="318" t="s">
        <v>962</v>
      </c>
      <c r="B23" s="690" t="s">
        <v>978</v>
      </c>
      <c r="C23" s="692"/>
      <c r="D23" s="321">
        <f>TRUNC(0.6%,4)</f>
        <v>6.0000000000000001E-3</v>
      </c>
      <c r="E23" s="322" t="s">
        <v>1098</v>
      </c>
    </row>
    <row r="24" spans="1:5" ht="15.75">
      <c r="A24" s="318" t="s">
        <v>979</v>
      </c>
      <c r="B24" s="690" t="s">
        <v>1099</v>
      </c>
      <c r="C24" s="692"/>
      <c r="D24" s="321">
        <f>TRUNC(0.2%,4)</f>
        <v>2E-3</v>
      </c>
      <c r="E24" s="322" t="s">
        <v>1100</v>
      </c>
    </row>
    <row r="25" spans="1:5" ht="15.75">
      <c r="A25" s="318" t="s">
        <v>207</v>
      </c>
      <c r="B25" s="690" t="s">
        <v>1101</v>
      </c>
      <c r="C25" s="692"/>
      <c r="D25" s="321">
        <f>TRUNC(8%,4)</f>
        <v>0.08</v>
      </c>
      <c r="E25" s="322" t="s">
        <v>1102</v>
      </c>
    </row>
    <row r="26" spans="1:5" ht="15.75">
      <c r="A26" s="390" t="s">
        <v>930</v>
      </c>
      <c r="B26" s="690" t="s">
        <v>1209</v>
      </c>
      <c r="C26" s="692"/>
      <c r="D26" s="321">
        <v>0.01</v>
      </c>
      <c r="E26" s="322" t="s">
        <v>1211</v>
      </c>
    </row>
    <row r="27" spans="1:5" ht="15.75">
      <c r="A27" s="687" t="s">
        <v>1082</v>
      </c>
      <c r="B27" s="688"/>
      <c r="C27" s="689"/>
      <c r="D27" s="327">
        <f>TRUNC(SUM(D17:D26),4)</f>
        <v>0.40799999999999997</v>
      </c>
      <c r="E27" s="324" t="s">
        <v>1212</v>
      </c>
    </row>
    <row r="28" spans="1:5" ht="15.75">
      <c r="A28" s="328"/>
      <c r="B28" s="328"/>
      <c r="C28" s="328"/>
      <c r="D28" s="329"/>
      <c r="E28" s="330"/>
    </row>
    <row r="29" spans="1:5" ht="15.75">
      <c r="A29" s="723" t="s">
        <v>1103</v>
      </c>
      <c r="B29" s="723"/>
      <c r="C29" s="723"/>
      <c r="D29" s="723"/>
      <c r="E29" s="723"/>
    </row>
    <row r="30" spans="1:5" ht="15.75">
      <c r="A30" s="708" t="s">
        <v>1104</v>
      </c>
      <c r="B30" s="708"/>
      <c r="C30" s="708"/>
      <c r="D30" s="708"/>
      <c r="E30" s="708"/>
    </row>
    <row r="31" spans="1:5" ht="15.75">
      <c r="A31" s="331"/>
      <c r="B31" s="331"/>
      <c r="C31" s="389">
        <f>(5.5+3.5)*2*22</f>
        <v>396</v>
      </c>
      <c r="D31" s="331"/>
      <c r="E31" s="331" t="s">
        <v>1207</v>
      </c>
    </row>
    <row r="32" spans="1:5" ht="15.75">
      <c r="A32" s="331"/>
      <c r="B32" s="332" t="s">
        <v>1105</v>
      </c>
      <c r="C32" s="333">
        <f>(5.5+3.5)*2*D48</f>
        <v>377.64</v>
      </c>
      <c r="D32" s="333"/>
      <c r="E32" s="331" t="s">
        <v>1206</v>
      </c>
    </row>
    <row r="33" spans="1:5" ht="15.75">
      <c r="A33" s="708"/>
      <c r="B33" s="708"/>
      <c r="C33" s="708"/>
      <c r="D33" s="708"/>
      <c r="E33" s="708"/>
    </row>
    <row r="34" spans="1:5" ht="15.75">
      <c r="A34" s="708" t="s">
        <v>1106</v>
      </c>
      <c r="B34" s="708"/>
      <c r="C34" s="708"/>
      <c r="D34" s="708"/>
      <c r="E34" s="708"/>
    </row>
    <row r="35" spans="1:5" ht="15.75">
      <c r="A35" s="334"/>
      <c r="B35" s="332" t="s">
        <v>1105</v>
      </c>
      <c r="C35" s="333">
        <v>40</v>
      </c>
      <c r="D35" s="333"/>
      <c r="E35" s="334" t="s">
        <v>1199</v>
      </c>
    </row>
    <row r="36" spans="1:5" ht="15.75">
      <c r="A36" s="335"/>
      <c r="B36" s="332"/>
      <c r="C36" s="388">
        <v>46.38</v>
      </c>
      <c r="D36" s="333"/>
      <c r="E36" s="336" t="s">
        <v>1205</v>
      </c>
    </row>
    <row r="37" spans="1:5" ht="31.5">
      <c r="A37" s="335"/>
      <c r="B37" s="332"/>
      <c r="C37" s="388">
        <f>(27*0.91)+6.4</f>
        <v>30.97</v>
      </c>
      <c r="D37" s="333"/>
      <c r="E37" s="337" t="s">
        <v>1780</v>
      </c>
    </row>
    <row r="38" spans="1:5" ht="15.75">
      <c r="A38" s="335"/>
      <c r="B38" s="332"/>
      <c r="C38" s="333"/>
      <c r="D38" s="333"/>
      <c r="E38" s="336"/>
    </row>
    <row r="39" spans="1:5" ht="15.75">
      <c r="A39" s="709"/>
      <c r="B39" s="710"/>
      <c r="C39" s="710"/>
      <c r="D39" s="710"/>
      <c r="E39" s="711"/>
    </row>
    <row r="40" spans="1:5" ht="15.75">
      <c r="A40" s="338"/>
      <c r="B40" s="332"/>
      <c r="C40" s="388"/>
      <c r="D40" s="339"/>
      <c r="E40" s="336"/>
    </row>
    <row r="41" spans="1:5" ht="15.75">
      <c r="A41" s="340"/>
      <c r="B41" s="332"/>
      <c r="C41" s="333"/>
      <c r="D41" s="339"/>
      <c r="E41" s="337"/>
    </row>
    <row r="42" spans="1:5" ht="15.75">
      <c r="A42" s="712" t="s">
        <v>1200</v>
      </c>
      <c r="B42" s="713"/>
      <c r="C42" s="713"/>
      <c r="D42" s="713"/>
      <c r="E42" s="714"/>
    </row>
    <row r="43" spans="1:5" ht="15.75">
      <c r="A43" s="340"/>
      <c r="B43" s="332" t="s">
        <v>1105</v>
      </c>
      <c r="C43" s="333">
        <f>(15809/12)*0.005</f>
        <v>6.5870833333333341</v>
      </c>
      <c r="D43" s="339"/>
      <c r="E43" s="337" t="s">
        <v>1201</v>
      </c>
    </row>
    <row r="44" spans="1:5" ht="15.75">
      <c r="A44" s="340"/>
      <c r="B44" s="332"/>
      <c r="C44" s="333">
        <v>3.78</v>
      </c>
      <c r="D44" s="339"/>
      <c r="E44" s="337" t="s">
        <v>1793</v>
      </c>
    </row>
    <row r="45" spans="1:5" ht="15.75">
      <c r="A45" s="340"/>
      <c r="B45" s="332"/>
      <c r="C45" s="333">
        <f>(21400/12)*0.005</f>
        <v>8.9166666666666661</v>
      </c>
      <c r="D45" s="339"/>
      <c r="E45" s="337" t="s">
        <v>1795</v>
      </c>
    </row>
    <row r="46" spans="1:5" ht="15.75">
      <c r="A46" s="834"/>
      <c r="B46" s="332"/>
      <c r="C46" s="333"/>
      <c r="D46" s="339"/>
      <c r="E46" s="337"/>
    </row>
    <row r="47" spans="1:5" ht="15.75">
      <c r="A47" s="341"/>
      <c r="B47" s="315"/>
      <c r="C47" s="315"/>
      <c r="D47" s="315"/>
      <c r="E47" s="342"/>
    </row>
    <row r="48" spans="1:5" ht="29.25" customHeight="1">
      <c r="A48" s="715" t="s">
        <v>1107</v>
      </c>
      <c r="B48" s="716"/>
      <c r="C48" s="717"/>
      <c r="D48" s="343">
        <f>ROUND((((365/7)*5)-9)/12,2)</f>
        <v>20.98</v>
      </c>
      <c r="E48" s="344" t="s">
        <v>1108</v>
      </c>
    </row>
    <row r="49" spans="1:5" ht="169.5" customHeight="1">
      <c r="A49" s="718"/>
      <c r="B49" s="718"/>
      <c r="C49" s="718"/>
      <c r="D49" s="718"/>
      <c r="E49" s="718"/>
    </row>
    <row r="50" spans="1:5" ht="15.75">
      <c r="A50" s="345"/>
      <c r="B50" s="55"/>
      <c r="C50" s="55"/>
      <c r="D50" s="346"/>
      <c r="E50" s="347"/>
    </row>
    <row r="51" spans="1:5" ht="15.75">
      <c r="A51" s="348"/>
      <c r="B51" s="348"/>
      <c r="C51" s="348"/>
      <c r="D51" s="349"/>
      <c r="E51" s="315"/>
    </row>
    <row r="52" spans="1:5" ht="18">
      <c r="A52" s="719" t="s">
        <v>1109</v>
      </c>
      <c r="B52" s="719"/>
      <c r="C52" s="719"/>
      <c r="D52" s="719"/>
      <c r="E52" s="719"/>
    </row>
    <row r="53" spans="1:5" ht="15.75">
      <c r="A53" s="317">
        <v>3</v>
      </c>
      <c r="B53" s="687" t="s">
        <v>1110</v>
      </c>
      <c r="C53" s="689"/>
      <c r="D53" s="317" t="s">
        <v>967</v>
      </c>
      <c r="E53" s="317" t="s">
        <v>922</v>
      </c>
    </row>
    <row r="54" spans="1:5" ht="63">
      <c r="A54" s="318" t="s">
        <v>937</v>
      </c>
      <c r="B54" s="690" t="s">
        <v>1111</v>
      </c>
      <c r="C54" s="692"/>
      <c r="D54" s="321">
        <f>ROUND(1/12*0.1,4)</f>
        <v>8.3000000000000001E-3</v>
      </c>
      <c r="E54" s="322" t="s">
        <v>1112</v>
      </c>
    </row>
    <row r="55" spans="1:5" ht="47.25">
      <c r="A55" s="318" t="s">
        <v>939</v>
      </c>
      <c r="B55" s="690" t="s">
        <v>1113</v>
      </c>
      <c r="C55" s="692"/>
      <c r="D55" s="321">
        <f>TRUNC(D25*D54,4)</f>
        <v>5.9999999999999995E-4</v>
      </c>
      <c r="E55" s="322" t="s">
        <v>1114</v>
      </c>
    </row>
    <row r="56" spans="1:5" ht="94.5">
      <c r="A56" s="318" t="s">
        <v>942</v>
      </c>
      <c r="B56" s="690" t="s">
        <v>1115</v>
      </c>
      <c r="C56" s="692"/>
      <c r="D56" s="321">
        <v>0.4</v>
      </c>
      <c r="E56" s="322" t="s">
        <v>1116</v>
      </c>
    </row>
    <row r="57" spans="1:5" ht="47.25">
      <c r="A57" s="318" t="s">
        <v>944</v>
      </c>
      <c r="B57" s="706" t="s">
        <v>1117</v>
      </c>
      <c r="C57" s="707"/>
      <c r="D57" s="350">
        <v>1.9400000000000001E-2</v>
      </c>
      <c r="E57" s="351" t="s">
        <v>1118</v>
      </c>
    </row>
    <row r="58" spans="1:5" ht="47.25">
      <c r="A58" s="318" t="s">
        <v>945</v>
      </c>
      <c r="B58" s="690" t="s">
        <v>1119</v>
      </c>
      <c r="C58" s="692"/>
      <c r="D58" s="321">
        <f>TRUNC(D27*D57,4)</f>
        <v>7.9000000000000008E-3</v>
      </c>
      <c r="E58" s="322" t="s">
        <v>1120</v>
      </c>
    </row>
    <row r="59" spans="1:5" ht="63">
      <c r="A59" s="318" t="s">
        <v>962</v>
      </c>
      <c r="B59" s="690" t="s">
        <v>1121</v>
      </c>
      <c r="C59" s="692"/>
      <c r="D59" s="321">
        <v>0.4</v>
      </c>
      <c r="E59" s="322" t="s">
        <v>1122</v>
      </c>
    </row>
    <row r="60" spans="1:5" ht="15.75">
      <c r="A60" s="687" t="s">
        <v>1082</v>
      </c>
      <c r="B60" s="688"/>
      <c r="C60" s="689"/>
      <c r="D60" s="327">
        <f>TRUNC(SUM(D54:D59),4)</f>
        <v>0.83620000000000005</v>
      </c>
      <c r="E60" s="324" t="s">
        <v>1123</v>
      </c>
    </row>
    <row r="61" spans="1:5" ht="15.75">
      <c r="A61" s="352"/>
      <c r="B61" s="352"/>
      <c r="C61" s="352"/>
      <c r="D61" s="349"/>
      <c r="E61" s="353"/>
    </row>
    <row r="62" spans="1:5" ht="18">
      <c r="A62" s="720" t="s">
        <v>1124</v>
      </c>
      <c r="B62" s="721"/>
      <c r="C62" s="721"/>
      <c r="D62" s="721"/>
      <c r="E62" s="722"/>
    </row>
    <row r="63" spans="1:5" ht="31.5">
      <c r="A63" s="317" t="s">
        <v>997</v>
      </c>
      <c r="B63" s="317" t="s">
        <v>1000</v>
      </c>
      <c r="C63" s="317" t="s">
        <v>1125</v>
      </c>
      <c r="D63" s="317" t="s">
        <v>967</v>
      </c>
      <c r="E63" s="317" t="s">
        <v>1077</v>
      </c>
    </row>
    <row r="64" spans="1:5" ht="31.5">
      <c r="A64" s="318" t="s">
        <v>937</v>
      </c>
      <c r="B64" s="354" t="s">
        <v>1126</v>
      </c>
      <c r="C64" s="355" t="s">
        <v>1127</v>
      </c>
      <c r="D64" s="321">
        <f>ROUND((1/12),4)</f>
        <v>8.3299999999999999E-2</v>
      </c>
      <c r="E64" s="322" t="s">
        <v>1128</v>
      </c>
    </row>
    <row r="65" spans="1:16" ht="47.25">
      <c r="A65" s="318" t="s">
        <v>939</v>
      </c>
      <c r="B65" s="354" t="s">
        <v>1129</v>
      </c>
      <c r="C65" s="355" t="s">
        <v>1127</v>
      </c>
      <c r="D65" s="321">
        <f>ROUND((1/30)*5/12,4)</f>
        <v>1.3899999999999999E-2</v>
      </c>
      <c r="E65" s="322" t="s">
        <v>1130</v>
      </c>
    </row>
    <row r="66" spans="1:16" ht="63">
      <c r="A66" s="318" t="s">
        <v>942</v>
      </c>
      <c r="B66" s="354" t="s">
        <v>1131</v>
      </c>
      <c r="C66" s="355" t="s">
        <v>1127</v>
      </c>
      <c r="D66" s="321">
        <f>ROUND(5/30/12*0.05,4)</f>
        <v>6.9999999999999999E-4</v>
      </c>
      <c r="E66" s="322" t="s">
        <v>1132</v>
      </c>
    </row>
    <row r="67" spans="1:16" ht="63">
      <c r="A67" s="318" t="s">
        <v>944</v>
      </c>
      <c r="B67" s="354" t="s">
        <v>1133</v>
      </c>
      <c r="C67" s="355" t="s">
        <v>1127</v>
      </c>
      <c r="D67" s="321">
        <f>(1/30)*3/12</f>
        <v>8.3333333333333332E-3</v>
      </c>
      <c r="E67" s="322" t="s">
        <v>1134</v>
      </c>
    </row>
    <row r="68" spans="1:16" ht="47.25">
      <c r="A68" s="318" t="s">
        <v>945</v>
      </c>
      <c r="B68" s="354" t="s">
        <v>1135</v>
      </c>
      <c r="C68" s="355" t="s">
        <v>1127</v>
      </c>
      <c r="D68" s="321">
        <f>(((1+1/3)*(4/12))/12)*0.01</f>
        <v>3.7037037037037035E-4</v>
      </c>
      <c r="E68" s="322" t="s">
        <v>1136</v>
      </c>
    </row>
    <row r="69" spans="1:16" ht="15.75">
      <c r="A69" s="723" t="s">
        <v>1137</v>
      </c>
      <c r="B69" s="723"/>
      <c r="C69" s="723"/>
      <c r="D69" s="323">
        <f>TRUNC(SUM(D64:D68),4)</f>
        <v>0.1066</v>
      </c>
      <c r="E69" s="324" t="s">
        <v>1138</v>
      </c>
    </row>
    <row r="70" spans="1:16" ht="31.5">
      <c r="A70" s="356" t="s">
        <v>962</v>
      </c>
      <c r="B70" s="357" t="s">
        <v>1139</v>
      </c>
      <c r="C70" s="326" t="s">
        <v>1127</v>
      </c>
      <c r="D70" s="358">
        <f>ROUND(D69*D27,4)</f>
        <v>4.3499999999999997E-2</v>
      </c>
      <c r="E70" s="359" t="s">
        <v>1139</v>
      </c>
    </row>
    <row r="71" spans="1:16" ht="15.75">
      <c r="A71" s="723" t="s">
        <v>1140</v>
      </c>
      <c r="B71" s="723"/>
      <c r="C71" s="723"/>
      <c r="D71" s="323">
        <f>TRUNC(SUM(D69:D70),4)</f>
        <v>0.15010000000000001</v>
      </c>
      <c r="E71" s="324" t="s">
        <v>1138</v>
      </c>
    </row>
    <row r="72" spans="1:16" ht="15.75">
      <c r="A72" s="352"/>
      <c r="B72" s="352"/>
      <c r="C72" s="352"/>
      <c r="D72" s="360"/>
      <c r="E72" s="353"/>
    </row>
    <row r="73" spans="1:16" ht="15.75">
      <c r="A73" s="701"/>
      <c r="B73" s="702"/>
      <c r="C73" s="702"/>
      <c r="D73" s="702"/>
      <c r="E73" s="703"/>
    </row>
    <row r="74" spans="1:16" ht="18">
      <c r="A74" s="719" t="s">
        <v>1141</v>
      </c>
      <c r="B74" s="719"/>
      <c r="C74" s="719"/>
      <c r="D74" s="719"/>
      <c r="E74" s="719"/>
      <c r="G74" s="726" t="s">
        <v>1216</v>
      </c>
      <c r="H74" s="726"/>
      <c r="I74" s="726"/>
      <c r="J74" s="726"/>
      <c r="K74" s="726"/>
      <c r="L74" s="726"/>
      <c r="M74" s="726"/>
      <c r="N74" s="726"/>
      <c r="O74" s="726"/>
      <c r="P74" s="726"/>
    </row>
    <row r="75" spans="1:16" ht="15.75">
      <c r="A75" s="687" t="s">
        <v>1142</v>
      </c>
      <c r="B75" s="688"/>
      <c r="C75" s="688"/>
      <c r="D75" s="688"/>
      <c r="E75" s="689"/>
      <c r="G75" s="726"/>
      <c r="H75" s="726"/>
      <c r="I75" s="726"/>
      <c r="J75" s="726"/>
      <c r="K75" s="726"/>
      <c r="L75" s="726"/>
      <c r="M75" s="726"/>
      <c r="N75" s="726"/>
      <c r="O75" s="726"/>
      <c r="P75" s="726"/>
    </row>
    <row r="76" spans="1:16" ht="55.5" customHeight="1">
      <c r="A76" s="699" t="s">
        <v>1215</v>
      </c>
      <c r="B76" s="699"/>
      <c r="C76" s="699"/>
      <c r="D76" s="699"/>
      <c r="E76" s="699"/>
      <c r="G76" s="726"/>
      <c r="H76" s="726"/>
      <c r="I76" s="726"/>
      <c r="J76" s="726"/>
      <c r="K76" s="726"/>
      <c r="L76" s="726"/>
      <c r="M76" s="726"/>
      <c r="N76" s="726"/>
      <c r="O76" s="726"/>
      <c r="P76" s="726"/>
    </row>
    <row r="77" spans="1:16" ht="8.25" customHeight="1">
      <c r="A77" s="361"/>
      <c r="B77" s="361"/>
      <c r="C77" s="361"/>
      <c r="D77" s="361"/>
      <c r="E77" s="361"/>
    </row>
    <row r="78" spans="1:16" ht="15.75">
      <c r="A78" s="687" t="s">
        <v>1143</v>
      </c>
      <c r="B78" s="688"/>
      <c r="C78" s="688"/>
      <c r="D78" s="688"/>
      <c r="E78" s="689"/>
    </row>
    <row r="79" spans="1:16" ht="51" customHeight="1">
      <c r="A79" s="701" t="s">
        <v>1213</v>
      </c>
      <c r="B79" s="702"/>
      <c r="C79" s="702"/>
      <c r="D79" s="702"/>
      <c r="E79" s="703"/>
    </row>
    <row r="80" spans="1:16" ht="329.25" customHeight="1">
      <c r="A80" s="341" t="s">
        <v>1144</v>
      </c>
      <c r="B80" s="315" t="s">
        <v>933</v>
      </c>
      <c r="C80" s="362">
        <v>0.02</v>
      </c>
      <c r="D80" s="315"/>
      <c r="E80" s="342" t="s">
        <v>1214</v>
      </c>
    </row>
    <row r="81" spans="1:5" ht="15.75">
      <c r="A81" s="341" t="s">
        <v>1145</v>
      </c>
      <c r="B81" s="315" t="s">
        <v>931</v>
      </c>
      <c r="C81" s="362">
        <v>7.5999999999999998E-2</v>
      </c>
      <c r="D81" s="315"/>
      <c r="E81" s="342"/>
    </row>
    <row r="82" spans="1:5" ht="15.75">
      <c r="A82" s="341" t="s">
        <v>1146</v>
      </c>
      <c r="B82" s="315" t="s">
        <v>932</v>
      </c>
      <c r="C82" s="362">
        <v>1.6500000000000001E-2</v>
      </c>
      <c r="D82" s="315"/>
      <c r="E82" s="342"/>
    </row>
    <row r="83" spans="1:5" ht="15.75">
      <c r="A83" s="704" t="s">
        <v>1147</v>
      </c>
      <c r="B83" s="705"/>
      <c r="C83" s="363">
        <f>TRUNC(SUM(C80:C82),4)</f>
        <v>0.1125</v>
      </c>
      <c r="D83" s="364"/>
      <c r="E83" s="365"/>
    </row>
    <row r="84" spans="1:5" ht="15.75">
      <c r="A84" s="352"/>
      <c r="B84" s="352"/>
      <c r="C84" s="366"/>
      <c r="D84" s="315"/>
      <c r="E84" s="315"/>
    </row>
    <row r="85" spans="1:5" ht="15.75">
      <c r="A85" s="687" t="s">
        <v>1148</v>
      </c>
      <c r="B85" s="688"/>
      <c r="C85" s="688"/>
      <c r="D85" s="688"/>
      <c r="E85" s="689"/>
    </row>
    <row r="86" spans="1:5" ht="53.25" customHeight="1">
      <c r="A86" s="690" t="s">
        <v>1217</v>
      </c>
      <c r="B86" s="691"/>
      <c r="C86" s="691"/>
      <c r="D86" s="691"/>
      <c r="E86" s="692"/>
    </row>
    <row r="87" spans="1:5" ht="15.75">
      <c r="A87" s="367"/>
      <c r="B87" s="367"/>
      <c r="C87" s="367"/>
      <c r="D87" s="367"/>
      <c r="E87" s="367"/>
    </row>
    <row r="88" spans="1:5" ht="18">
      <c r="A88" s="693" t="s">
        <v>1149</v>
      </c>
      <c r="B88" s="694"/>
      <c r="C88" s="694"/>
      <c r="D88" s="694"/>
      <c r="E88" s="695"/>
    </row>
    <row r="89" spans="1:5" ht="47.25" customHeight="1">
      <c r="A89" s="696" t="s">
        <v>1150</v>
      </c>
      <c r="B89" s="697"/>
      <c r="C89" s="697"/>
      <c r="D89" s="697"/>
      <c r="E89" s="698"/>
    </row>
    <row r="90" spans="1:5" ht="15.75">
      <c r="A90" s="367"/>
      <c r="B90" s="367"/>
      <c r="C90" s="367"/>
      <c r="D90" s="367"/>
      <c r="E90" s="367"/>
    </row>
  </sheetData>
  <mergeCells count="57">
    <mergeCell ref="G74:P76"/>
    <mergeCell ref="B18:C18"/>
    <mergeCell ref="A1:E1"/>
    <mergeCell ref="G2:L2"/>
    <mergeCell ref="A3:E3"/>
    <mergeCell ref="A4:E4"/>
    <mergeCell ref="A6:E6"/>
    <mergeCell ref="A7:E7"/>
    <mergeCell ref="A11:C11"/>
    <mergeCell ref="A13:C13"/>
    <mergeCell ref="A15:E15"/>
    <mergeCell ref="B16:C16"/>
    <mergeCell ref="B17:C17"/>
    <mergeCell ref="A33:E33"/>
    <mergeCell ref="A19:A20"/>
    <mergeCell ref="B19:C20"/>
    <mergeCell ref="D19:D20"/>
    <mergeCell ref="B21:C21"/>
    <mergeCell ref="B22:C22"/>
    <mergeCell ref="B23:C23"/>
    <mergeCell ref="B24:C24"/>
    <mergeCell ref="B25:C25"/>
    <mergeCell ref="A27:C27"/>
    <mergeCell ref="A29:E29"/>
    <mergeCell ref="A30:E30"/>
    <mergeCell ref="B26:C26"/>
    <mergeCell ref="A69:C69"/>
    <mergeCell ref="A71:C71"/>
    <mergeCell ref="A73:E73"/>
    <mergeCell ref="A74:E74"/>
    <mergeCell ref="B56:C56"/>
    <mergeCell ref="A49:E49"/>
    <mergeCell ref="A52:E52"/>
    <mergeCell ref="B53:C53"/>
    <mergeCell ref="B54:C54"/>
    <mergeCell ref="A62:E62"/>
    <mergeCell ref="S2:U2"/>
    <mergeCell ref="W2:Y2"/>
    <mergeCell ref="A78:E78"/>
    <mergeCell ref="A79:E79"/>
    <mergeCell ref="A83:B83"/>
    <mergeCell ref="B57:C57"/>
    <mergeCell ref="B58:C58"/>
    <mergeCell ref="B59:C59"/>
    <mergeCell ref="A60:C60"/>
    <mergeCell ref="N2:Q2"/>
    <mergeCell ref="A75:E75"/>
    <mergeCell ref="B55:C55"/>
    <mergeCell ref="A34:E34"/>
    <mergeCell ref="A39:E39"/>
    <mergeCell ref="A42:E42"/>
    <mergeCell ref="A48:C48"/>
    <mergeCell ref="A85:E85"/>
    <mergeCell ref="A86:E86"/>
    <mergeCell ref="A88:E88"/>
    <mergeCell ref="A89:E89"/>
    <mergeCell ref="A76:E76"/>
  </mergeCells>
  <phoneticPr fontId="15" type="noConversion"/>
  <pageMargins left="0.511811024" right="0.511811024" top="0.78740157499999996" bottom="0.78740157499999996" header="0.31496062000000002" footer="0.31496062000000002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2:N187"/>
  <sheetViews>
    <sheetView topLeftCell="A129" zoomScaleNormal="100" workbookViewId="0">
      <selection activeCell="A147" sqref="A147"/>
    </sheetView>
  </sheetViews>
  <sheetFormatPr defaultRowHeight="15"/>
  <cols>
    <col min="2" max="2" width="67" customWidth="1"/>
    <col min="3" max="3" width="14" customWidth="1"/>
    <col min="4" max="4" width="13.5703125" customWidth="1"/>
    <col min="5" max="5" width="11.85546875" customWidth="1"/>
    <col min="6" max="6" width="12.140625" style="158" customWidth="1"/>
    <col min="7" max="7" width="14.85546875" style="158" customWidth="1"/>
    <col min="8" max="8" width="13.7109375" customWidth="1"/>
    <col min="9" max="9" width="14.7109375" customWidth="1"/>
    <col min="10" max="10" width="8.140625" customWidth="1"/>
    <col min="11" max="11" width="7.140625" customWidth="1"/>
    <col min="12" max="12" width="6.140625" customWidth="1"/>
    <col min="13" max="13" width="7.28515625" customWidth="1"/>
    <col min="14" max="14" width="5.85546875" customWidth="1"/>
  </cols>
  <sheetData>
    <row r="2" spans="1:11" ht="29.25" customHeight="1">
      <c r="A2" s="734" t="s">
        <v>0</v>
      </c>
      <c r="B2" s="734"/>
      <c r="C2" s="734"/>
      <c r="D2" s="734"/>
      <c r="E2" s="734"/>
      <c r="F2" s="734"/>
      <c r="G2" s="734"/>
      <c r="H2" s="734"/>
      <c r="I2" s="734"/>
      <c r="J2" s="166"/>
    </row>
    <row r="3" spans="1:11" s="442" customFormat="1" ht="15.75" customHeight="1">
      <c r="A3" s="735" t="s">
        <v>1041</v>
      </c>
      <c r="B3" s="735" t="s">
        <v>1</v>
      </c>
      <c r="C3" s="735" t="s">
        <v>2</v>
      </c>
      <c r="D3" s="735" t="s">
        <v>3</v>
      </c>
      <c r="E3" s="738" t="s">
        <v>4</v>
      </c>
      <c r="F3" s="738"/>
      <c r="G3" s="738"/>
      <c r="H3" s="738" t="s">
        <v>1405</v>
      </c>
      <c r="I3" s="738" t="s">
        <v>6</v>
      </c>
      <c r="J3" s="441"/>
    </row>
    <row r="4" spans="1:11" s="442" customFormat="1" ht="31.5">
      <c r="A4" s="736"/>
      <c r="B4" s="736"/>
      <c r="C4" s="736"/>
      <c r="D4" s="736"/>
      <c r="E4" s="739" t="s">
        <v>1784</v>
      </c>
      <c r="F4" s="740"/>
      <c r="G4" s="443" t="s">
        <v>1327</v>
      </c>
      <c r="H4" s="738"/>
      <c r="I4" s="738"/>
      <c r="K4" s="161"/>
    </row>
    <row r="5" spans="1:11" ht="15.75">
      <c r="A5" s="4">
        <v>1</v>
      </c>
      <c r="B5" s="424" t="s">
        <v>1785</v>
      </c>
      <c r="C5" s="1">
        <v>3</v>
      </c>
      <c r="D5" s="1" t="s">
        <v>3</v>
      </c>
      <c r="E5" s="45">
        <v>3143</v>
      </c>
      <c r="F5" s="162">
        <v>9.1</v>
      </c>
      <c r="G5" s="11"/>
      <c r="H5" s="156">
        <f>AVERAGE(F5:G5)</f>
        <v>9.1</v>
      </c>
      <c r="I5" s="8">
        <f t="shared" ref="I5:I43" si="0">C5*H5</f>
        <v>27.299999999999997</v>
      </c>
    </row>
    <row r="6" spans="1:11" ht="15.75">
      <c r="A6" s="4">
        <v>2</v>
      </c>
      <c r="B6" s="424" t="s">
        <v>8</v>
      </c>
      <c r="C6" s="1">
        <v>3</v>
      </c>
      <c r="D6" s="1" t="s">
        <v>7</v>
      </c>
      <c r="E6" s="45"/>
      <c r="F6" s="162"/>
      <c r="G6" s="11">
        <v>10</v>
      </c>
      <c r="H6" s="156">
        <f t="shared" ref="H6:H43" si="1">AVERAGE(F6:G6)</f>
        <v>10</v>
      </c>
      <c r="I6" s="8">
        <f t="shared" si="0"/>
        <v>30</v>
      </c>
    </row>
    <row r="7" spans="1:11" ht="15.75">
      <c r="A7" s="4">
        <v>3</v>
      </c>
      <c r="B7" s="424" t="s">
        <v>1340</v>
      </c>
      <c r="C7" s="1">
        <v>1</v>
      </c>
      <c r="D7" s="1" t="s">
        <v>7</v>
      </c>
      <c r="E7" s="45">
        <v>44329</v>
      </c>
      <c r="F7" s="162">
        <v>11.38</v>
      </c>
      <c r="G7" s="11"/>
      <c r="H7" s="156">
        <f t="shared" ref="H7:H13" si="2">AVERAGE(F7:G7)</f>
        <v>11.38</v>
      </c>
      <c r="I7" s="8">
        <f t="shared" ref="I7:I13" si="3">C7*H7</f>
        <v>11.38</v>
      </c>
    </row>
    <row r="8" spans="1:11" ht="15.75">
      <c r="A8" s="4">
        <v>4</v>
      </c>
      <c r="B8" s="424" t="s">
        <v>13</v>
      </c>
      <c r="C8" s="1">
        <v>1</v>
      </c>
      <c r="D8" s="1" t="s">
        <v>10</v>
      </c>
      <c r="E8" s="425" t="s">
        <v>1301</v>
      </c>
      <c r="F8" s="162">
        <v>19.93</v>
      </c>
      <c r="G8" s="11"/>
      <c r="H8" s="156">
        <f t="shared" si="2"/>
        <v>19.93</v>
      </c>
      <c r="I8" s="8">
        <f t="shared" si="3"/>
        <v>19.93</v>
      </c>
    </row>
    <row r="9" spans="1:11" ht="15.75">
      <c r="A9" s="4">
        <v>5</v>
      </c>
      <c r="B9" s="424" t="s">
        <v>17</v>
      </c>
      <c r="C9" s="1">
        <v>5</v>
      </c>
      <c r="D9" s="1" t="s">
        <v>3</v>
      </c>
      <c r="E9" s="45"/>
      <c r="F9" s="162"/>
      <c r="G9" s="11">
        <v>4.4800000000000004</v>
      </c>
      <c r="H9" s="156">
        <f t="shared" si="2"/>
        <v>4.4800000000000004</v>
      </c>
      <c r="I9" s="8">
        <f t="shared" si="3"/>
        <v>22.400000000000002</v>
      </c>
    </row>
    <row r="10" spans="1:11" ht="15.75">
      <c r="A10" s="4">
        <v>6</v>
      </c>
      <c r="B10" s="424" t="s">
        <v>1306</v>
      </c>
      <c r="C10" s="1">
        <v>5</v>
      </c>
      <c r="D10" s="1" t="s">
        <v>3</v>
      </c>
      <c r="E10" s="45">
        <v>13261</v>
      </c>
      <c r="F10" s="162">
        <v>2.54</v>
      </c>
      <c r="G10" s="11"/>
      <c r="H10" s="156">
        <f t="shared" si="2"/>
        <v>2.54</v>
      </c>
      <c r="I10" s="8">
        <f t="shared" si="3"/>
        <v>12.7</v>
      </c>
    </row>
    <row r="11" spans="1:11" ht="15.75">
      <c r="A11" s="4">
        <v>7</v>
      </c>
      <c r="B11" s="424" t="s">
        <v>1310</v>
      </c>
      <c r="C11" s="1">
        <v>1</v>
      </c>
      <c r="D11" s="1" t="s">
        <v>3</v>
      </c>
      <c r="E11" s="45">
        <v>38401</v>
      </c>
      <c r="F11" s="162">
        <v>56.93</v>
      </c>
      <c r="G11" s="11"/>
      <c r="H11" s="156">
        <f t="shared" si="2"/>
        <v>56.93</v>
      </c>
      <c r="I11" s="8">
        <f t="shared" si="3"/>
        <v>56.93</v>
      </c>
    </row>
    <row r="12" spans="1:11" ht="15.75">
      <c r="A12" s="4">
        <v>8</v>
      </c>
      <c r="B12" s="424" t="s">
        <v>1309</v>
      </c>
      <c r="C12" s="1">
        <v>1</v>
      </c>
      <c r="D12" s="1" t="s">
        <v>3</v>
      </c>
      <c r="E12" s="45">
        <v>38400</v>
      </c>
      <c r="F12" s="162">
        <v>47.17</v>
      </c>
      <c r="G12" s="11"/>
      <c r="H12" s="156">
        <f t="shared" si="2"/>
        <v>47.17</v>
      </c>
      <c r="I12" s="8">
        <f t="shared" si="3"/>
        <v>47.17</v>
      </c>
    </row>
    <row r="13" spans="1:11" ht="15.75">
      <c r="A13" s="4">
        <v>9</v>
      </c>
      <c r="B13" s="424" t="s">
        <v>21</v>
      </c>
      <c r="C13" s="1">
        <v>1</v>
      </c>
      <c r="D13" s="1" t="s">
        <v>3</v>
      </c>
      <c r="E13" s="45"/>
      <c r="F13" s="162"/>
      <c r="G13" s="11">
        <v>13.93</v>
      </c>
      <c r="H13" s="156">
        <f t="shared" si="2"/>
        <v>13.93</v>
      </c>
      <c r="I13" s="8">
        <f t="shared" si="3"/>
        <v>13.93</v>
      </c>
    </row>
    <row r="14" spans="1:11" ht="15.75">
      <c r="A14" s="4">
        <v>10</v>
      </c>
      <c r="B14" s="424" t="s">
        <v>1342</v>
      </c>
      <c r="C14" s="168">
        <v>4</v>
      </c>
      <c r="D14" s="1" t="s">
        <v>3</v>
      </c>
      <c r="E14" s="45"/>
      <c r="F14" s="162"/>
      <c r="G14" s="11">
        <v>1.18</v>
      </c>
      <c r="H14" s="156">
        <f t="shared" ref="H14:H18" si="4">AVERAGE(F14:G14)</f>
        <v>1.18</v>
      </c>
      <c r="I14" s="8">
        <f t="shared" ref="I14:I18" si="5">C14*H14</f>
        <v>4.72</v>
      </c>
    </row>
    <row r="15" spans="1:11" ht="15.75">
      <c r="A15" s="4">
        <v>11</v>
      </c>
      <c r="B15" s="424" t="s">
        <v>1343</v>
      </c>
      <c r="C15" s="168">
        <v>1</v>
      </c>
      <c r="D15" s="1" t="s">
        <v>3</v>
      </c>
      <c r="E15" s="45">
        <v>38124</v>
      </c>
      <c r="F15" s="162">
        <v>24.89</v>
      </c>
      <c r="G15" s="11"/>
      <c r="H15" s="156">
        <f t="shared" si="4"/>
        <v>24.89</v>
      </c>
      <c r="I15" s="8">
        <f t="shared" si="5"/>
        <v>24.89</v>
      </c>
    </row>
    <row r="16" spans="1:11" ht="15.75">
      <c r="A16" s="4">
        <v>12</v>
      </c>
      <c r="B16" s="424" t="s">
        <v>22</v>
      </c>
      <c r="C16" s="1">
        <v>1</v>
      </c>
      <c r="D16" s="1" t="s">
        <v>3</v>
      </c>
      <c r="E16" s="45">
        <v>39961</v>
      </c>
      <c r="F16" s="162">
        <v>26.59</v>
      </c>
      <c r="G16" s="11"/>
      <c r="H16" s="156">
        <f t="shared" si="4"/>
        <v>26.59</v>
      </c>
      <c r="I16" s="8">
        <f t="shared" si="5"/>
        <v>26.59</v>
      </c>
    </row>
    <row r="17" spans="1:9" ht="15.75">
      <c r="A17" s="4">
        <v>13</v>
      </c>
      <c r="B17" s="424" t="s">
        <v>11</v>
      </c>
      <c r="C17" s="168">
        <v>0.3</v>
      </c>
      <c r="D17" s="168" t="s">
        <v>10</v>
      </c>
      <c r="E17" s="45">
        <v>44396</v>
      </c>
      <c r="F17" s="162">
        <v>48.48</v>
      </c>
      <c r="G17" s="11"/>
      <c r="H17" s="156">
        <f t="shared" si="4"/>
        <v>48.48</v>
      </c>
      <c r="I17" s="8">
        <f t="shared" si="5"/>
        <v>14.543999999999999</v>
      </c>
    </row>
    <row r="18" spans="1:9" ht="15.75">
      <c r="A18" s="4">
        <v>14</v>
      </c>
      <c r="B18" s="424" t="s">
        <v>1338</v>
      </c>
      <c r="C18" s="168">
        <v>0.3</v>
      </c>
      <c r="D18" s="168" t="s">
        <v>7</v>
      </c>
      <c r="E18" s="425" t="s">
        <v>1406</v>
      </c>
      <c r="F18" s="162">
        <v>77.709999999999994</v>
      </c>
      <c r="G18" s="11"/>
      <c r="H18" s="156">
        <f t="shared" si="4"/>
        <v>77.709999999999994</v>
      </c>
      <c r="I18" s="8">
        <f t="shared" si="5"/>
        <v>23.312999999999999</v>
      </c>
    </row>
    <row r="19" spans="1:9" ht="15.75">
      <c r="A19" s="4">
        <v>15</v>
      </c>
      <c r="B19" s="424" t="s">
        <v>12</v>
      </c>
      <c r="C19" s="1">
        <v>0.5</v>
      </c>
      <c r="D19" s="1" t="s">
        <v>10</v>
      </c>
      <c r="E19" s="45">
        <v>4791</v>
      </c>
      <c r="F19" s="162">
        <v>53.64</v>
      </c>
      <c r="G19" s="11"/>
      <c r="H19" s="156">
        <f t="shared" si="1"/>
        <v>53.64</v>
      </c>
      <c r="I19" s="8">
        <f t="shared" ref="I19:I31" si="6">C19*H19</f>
        <v>26.82</v>
      </c>
    </row>
    <row r="20" spans="1:9" ht="15.75">
      <c r="A20" s="4">
        <v>16</v>
      </c>
      <c r="B20" s="424" t="s">
        <v>1300</v>
      </c>
      <c r="C20" s="1">
        <v>0.5</v>
      </c>
      <c r="D20" s="1" t="s">
        <v>7</v>
      </c>
      <c r="E20" s="45">
        <v>4049</v>
      </c>
      <c r="F20" s="162">
        <v>75.459999999999994</v>
      </c>
      <c r="G20" s="11"/>
      <c r="H20" s="156">
        <f t="shared" si="1"/>
        <v>75.459999999999994</v>
      </c>
      <c r="I20" s="8">
        <f t="shared" si="6"/>
        <v>37.729999999999997</v>
      </c>
    </row>
    <row r="21" spans="1:9" ht="15.75">
      <c r="A21" s="4">
        <v>17</v>
      </c>
      <c r="B21" s="424" t="s">
        <v>1339</v>
      </c>
      <c r="C21" s="168">
        <v>5</v>
      </c>
      <c r="D21" s="168" t="s">
        <v>7</v>
      </c>
      <c r="E21" s="45"/>
      <c r="F21" s="162"/>
      <c r="G21" s="11">
        <v>15.67</v>
      </c>
      <c r="H21" s="156">
        <f t="shared" ref="H21:H24" si="7">AVERAGE(F21:G21)</f>
        <v>15.67</v>
      </c>
      <c r="I21" s="8">
        <f t="shared" ref="I21:I24" si="8">C21*H21</f>
        <v>78.349999999999994</v>
      </c>
    </row>
    <row r="22" spans="1:9" ht="15.75">
      <c r="A22" s="4">
        <v>18</v>
      </c>
      <c r="B22" s="424" t="s">
        <v>20</v>
      </c>
      <c r="C22" s="1">
        <v>0.5</v>
      </c>
      <c r="D22" s="1" t="s">
        <v>7</v>
      </c>
      <c r="E22" s="45"/>
      <c r="F22" s="162"/>
      <c r="G22" s="11">
        <v>13.94</v>
      </c>
      <c r="H22" s="156">
        <f t="shared" si="7"/>
        <v>13.94</v>
      </c>
      <c r="I22" s="8">
        <f t="shared" si="8"/>
        <v>6.97</v>
      </c>
    </row>
    <row r="23" spans="1:9" ht="15.75">
      <c r="A23" s="4">
        <v>19</v>
      </c>
      <c r="B23" s="424" t="s">
        <v>1307</v>
      </c>
      <c r="C23" s="1">
        <v>0.3</v>
      </c>
      <c r="D23" s="1" t="s">
        <v>10</v>
      </c>
      <c r="E23" s="45">
        <v>4229</v>
      </c>
      <c r="F23" s="162">
        <v>44.46</v>
      </c>
      <c r="G23" s="11"/>
      <c r="H23" s="156">
        <f t="shared" si="7"/>
        <v>44.46</v>
      </c>
      <c r="I23" s="8">
        <f t="shared" si="8"/>
        <v>13.337999999999999</v>
      </c>
    </row>
    <row r="24" spans="1:9" ht="15.75">
      <c r="A24" s="4">
        <v>20</v>
      </c>
      <c r="B24" s="424" t="s">
        <v>1355</v>
      </c>
      <c r="C24" s="168">
        <v>0.5</v>
      </c>
      <c r="D24" s="1" t="s">
        <v>3</v>
      </c>
      <c r="E24" s="45">
        <v>20078</v>
      </c>
      <c r="F24" s="162">
        <v>32.07</v>
      </c>
      <c r="G24" s="11"/>
      <c r="H24" s="156">
        <f t="shared" si="7"/>
        <v>32.07</v>
      </c>
      <c r="I24" s="8">
        <f t="shared" si="8"/>
        <v>16.035</v>
      </c>
    </row>
    <row r="25" spans="1:9" ht="15.75">
      <c r="A25" s="4">
        <v>21</v>
      </c>
      <c r="B25" s="424" t="s">
        <v>15</v>
      </c>
      <c r="C25" s="1">
        <v>2</v>
      </c>
      <c r="D25" s="1" t="s">
        <v>3</v>
      </c>
      <c r="E25" s="45"/>
      <c r="F25" s="162"/>
      <c r="G25" s="11">
        <v>9.7799999999999994</v>
      </c>
      <c r="H25" s="156">
        <f>AVERAGE(F25:G25)</f>
        <v>9.7799999999999994</v>
      </c>
      <c r="I25" s="8">
        <f t="shared" si="6"/>
        <v>19.559999999999999</v>
      </c>
    </row>
    <row r="26" spans="1:9" ht="15.75">
      <c r="A26" s="4">
        <v>22</v>
      </c>
      <c r="B26" s="424" t="s">
        <v>1356</v>
      </c>
      <c r="C26" s="168">
        <v>1</v>
      </c>
      <c r="D26" s="1" t="s">
        <v>3</v>
      </c>
      <c r="E26" s="45"/>
      <c r="F26" s="162"/>
      <c r="G26" s="11">
        <v>9.7799999999999994</v>
      </c>
      <c r="H26" s="156">
        <f>AVERAGE(F26:G26)</f>
        <v>9.7799999999999994</v>
      </c>
      <c r="I26" s="8">
        <f t="shared" si="6"/>
        <v>9.7799999999999994</v>
      </c>
    </row>
    <row r="27" spans="1:9" ht="15.75">
      <c r="A27" s="4">
        <v>23</v>
      </c>
      <c r="B27" s="424" t="s">
        <v>1344</v>
      </c>
      <c r="C27" s="168">
        <v>1</v>
      </c>
      <c r="D27" s="1" t="s">
        <v>3</v>
      </c>
      <c r="E27" s="151"/>
      <c r="F27" s="163"/>
      <c r="G27" s="11">
        <v>31.53</v>
      </c>
      <c r="H27" s="156">
        <f t="shared" ref="H27" si="9">AVERAGE(F27:G27)</f>
        <v>31.53</v>
      </c>
      <c r="I27" s="8">
        <f t="shared" si="6"/>
        <v>31.53</v>
      </c>
    </row>
    <row r="28" spans="1:9" ht="15.75">
      <c r="A28" s="4">
        <v>24</v>
      </c>
      <c r="B28" s="424" t="s">
        <v>1302</v>
      </c>
      <c r="C28" s="1">
        <v>1</v>
      </c>
      <c r="D28" s="1" t="s">
        <v>3</v>
      </c>
      <c r="E28" s="45">
        <v>12815</v>
      </c>
      <c r="F28" s="162">
        <v>14.01</v>
      </c>
      <c r="G28" s="11"/>
      <c r="H28" s="156">
        <f t="shared" si="1"/>
        <v>14.01</v>
      </c>
      <c r="I28" s="8">
        <f t="shared" si="6"/>
        <v>14.01</v>
      </c>
    </row>
    <row r="29" spans="1:9" ht="15.75">
      <c r="A29" s="4">
        <v>25</v>
      </c>
      <c r="B29" s="424" t="s">
        <v>1303</v>
      </c>
      <c r="C29" s="1">
        <v>2</v>
      </c>
      <c r="D29" s="1" t="s">
        <v>3</v>
      </c>
      <c r="E29" s="45">
        <v>20111</v>
      </c>
      <c r="F29" s="162">
        <v>11.96</v>
      </c>
      <c r="G29" s="11"/>
      <c r="H29" s="156">
        <f t="shared" si="1"/>
        <v>11.96</v>
      </c>
      <c r="I29" s="8">
        <f t="shared" si="6"/>
        <v>23.92</v>
      </c>
    </row>
    <row r="30" spans="1:9" ht="15.75">
      <c r="A30" s="4">
        <v>26</v>
      </c>
      <c r="B30" s="424" t="s">
        <v>1305</v>
      </c>
      <c r="C30" s="168">
        <v>3</v>
      </c>
      <c r="D30" s="168" t="s">
        <v>14</v>
      </c>
      <c r="E30" s="425" t="s">
        <v>1304</v>
      </c>
      <c r="F30" s="162">
        <v>1.63</v>
      </c>
      <c r="G30" s="11"/>
      <c r="H30" s="156">
        <f t="shared" si="1"/>
        <v>1.63</v>
      </c>
      <c r="I30" s="8">
        <f t="shared" si="6"/>
        <v>4.8899999999999997</v>
      </c>
    </row>
    <row r="31" spans="1:9" ht="15.75">
      <c r="A31" s="4">
        <v>27</v>
      </c>
      <c r="B31" s="424" t="s">
        <v>24</v>
      </c>
      <c r="C31" s="168">
        <v>1</v>
      </c>
      <c r="D31" s="168" t="s">
        <v>25</v>
      </c>
      <c r="E31" s="60"/>
      <c r="F31" s="12"/>
      <c r="G31" s="11">
        <v>20.11</v>
      </c>
      <c r="H31" s="156">
        <f>AVERAGE(F31:G31)</f>
        <v>20.11</v>
      </c>
      <c r="I31" s="8">
        <f t="shared" si="6"/>
        <v>20.11</v>
      </c>
    </row>
    <row r="32" spans="1:9" ht="15.75">
      <c r="A32" s="4">
        <v>28</v>
      </c>
      <c r="B32" s="424" t="s">
        <v>1345</v>
      </c>
      <c r="C32" s="168">
        <v>1</v>
      </c>
      <c r="D32" s="1" t="s">
        <v>3</v>
      </c>
      <c r="E32" s="60">
        <v>42529</v>
      </c>
      <c r="F32" s="12">
        <f>50*1.39</f>
        <v>69.5</v>
      </c>
      <c r="G32" s="11"/>
      <c r="H32" s="156">
        <f t="shared" ref="H32:H36" si="10">AVERAGE(F32:G32)</f>
        <v>69.5</v>
      </c>
      <c r="I32" s="8">
        <f t="shared" ref="I32:I36" si="11">C32*H32</f>
        <v>69.5</v>
      </c>
    </row>
    <row r="33" spans="1:14" ht="15.75">
      <c r="A33" s="4">
        <v>29</v>
      </c>
      <c r="B33" s="424" t="s">
        <v>1407</v>
      </c>
      <c r="C33" s="168">
        <v>1</v>
      </c>
      <c r="D33" s="1" t="s">
        <v>3</v>
      </c>
      <c r="E33" s="60"/>
      <c r="F33" s="12"/>
      <c r="G33" s="11">
        <f>AVERAGE(K33:N33)</f>
        <v>24.165000000000003</v>
      </c>
      <c r="H33" s="156">
        <f t="shared" si="10"/>
        <v>24.165000000000003</v>
      </c>
      <c r="I33" s="8">
        <f t="shared" si="11"/>
        <v>24.165000000000003</v>
      </c>
      <c r="K33">
        <v>21.04</v>
      </c>
      <c r="L33">
        <v>30.02</v>
      </c>
      <c r="M33">
        <v>19.899999999999999</v>
      </c>
      <c r="N33">
        <v>25.7</v>
      </c>
    </row>
    <row r="34" spans="1:14" ht="15.75">
      <c r="A34" s="4">
        <v>30</v>
      </c>
      <c r="B34" s="424" t="s">
        <v>1346</v>
      </c>
      <c r="C34" s="168">
        <v>1</v>
      </c>
      <c r="D34" s="1" t="s">
        <v>3</v>
      </c>
      <c r="E34" s="60"/>
      <c r="F34" s="12"/>
      <c r="G34" s="11">
        <f t="shared" ref="G34:G35" si="12">AVERAGE(K34:N34)</f>
        <v>54.85</v>
      </c>
      <c r="H34" s="156">
        <f t="shared" si="10"/>
        <v>54.85</v>
      </c>
      <c r="I34" s="8">
        <f t="shared" si="11"/>
        <v>54.85</v>
      </c>
      <c r="K34">
        <v>51.9</v>
      </c>
      <c r="L34">
        <v>70.599999999999994</v>
      </c>
      <c r="M34">
        <v>37.799999999999997</v>
      </c>
      <c r="N34">
        <v>59.1</v>
      </c>
    </row>
    <row r="35" spans="1:14" ht="15.75">
      <c r="A35" s="4">
        <v>31</v>
      </c>
      <c r="B35" s="424" t="s">
        <v>1347</v>
      </c>
      <c r="C35" s="168">
        <v>1</v>
      </c>
      <c r="D35" s="1" t="s">
        <v>3</v>
      </c>
      <c r="E35" s="60"/>
      <c r="F35" s="12"/>
      <c r="G35" s="11">
        <f t="shared" si="12"/>
        <v>43.052500000000002</v>
      </c>
      <c r="H35" s="156">
        <f t="shared" si="10"/>
        <v>43.052500000000002</v>
      </c>
      <c r="I35" s="8">
        <f t="shared" si="11"/>
        <v>43.052500000000002</v>
      </c>
      <c r="K35">
        <v>35.880000000000003</v>
      </c>
      <c r="L35">
        <v>30.71</v>
      </c>
      <c r="M35">
        <v>58.1</v>
      </c>
      <c r="N35">
        <v>47.52</v>
      </c>
    </row>
    <row r="36" spans="1:14" ht="15.75">
      <c r="A36" s="4">
        <v>32</v>
      </c>
      <c r="B36" s="424" t="s">
        <v>1308</v>
      </c>
      <c r="C36" s="1">
        <v>10</v>
      </c>
      <c r="D36" s="1" t="s">
        <v>16</v>
      </c>
      <c r="E36" s="425" t="s">
        <v>1781</v>
      </c>
      <c r="F36" s="162">
        <v>1.96</v>
      </c>
      <c r="G36" s="11"/>
      <c r="H36" s="156">
        <f t="shared" si="10"/>
        <v>1.96</v>
      </c>
      <c r="I36" s="8">
        <f t="shared" si="11"/>
        <v>19.600000000000001</v>
      </c>
    </row>
    <row r="37" spans="1:14" ht="15.75">
      <c r="A37" s="4">
        <v>33</v>
      </c>
      <c r="B37" s="424" t="s">
        <v>23</v>
      </c>
      <c r="C37" s="1">
        <v>3.6</v>
      </c>
      <c r="D37" s="1" t="s">
        <v>7</v>
      </c>
      <c r="E37" s="45">
        <v>43649</v>
      </c>
      <c r="F37" s="162">
        <v>50.06</v>
      </c>
      <c r="G37" s="11"/>
      <c r="H37" s="156">
        <f>AVERAGE(F37:G37)</f>
        <v>50.06</v>
      </c>
      <c r="I37" s="8">
        <f>C37*H37</f>
        <v>180.21600000000001</v>
      </c>
    </row>
    <row r="38" spans="1:14" ht="15.75">
      <c r="A38" s="4">
        <v>34</v>
      </c>
      <c r="B38" s="424" t="s">
        <v>1358</v>
      </c>
      <c r="C38" s="1">
        <v>5</v>
      </c>
      <c r="D38" s="1" t="s">
        <v>3</v>
      </c>
      <c r="E38" s="45">
        <v>38383</v>
      </c>
      <c r="F38" s="162">
        <v>2.3199999999999998</v>
      </c>
      <c r="G38" s="11"/>
      <c r="H38" s="156">
        <f t="shared" si="1"/>
        <v>2.3199999999999998</v>
      </c>
      <c r="I38" s="8">
        <f t="shared" si="0"/>
        <v>11.6</v>
      </c>
    </row>
    <row r="39" spans="1:14" ht="15.75">
      <c r="A39" s="4">
        <v>35</v>
      </c>
      <c r="B39" s="424" t="s">
        <v>1348</v>
      </c>
      <c r="C39" s="168">
        <v>3</v>
      </c>
      <c r="D39" s="1" t="s">
        <v>3</v>
      </c>
      <c r="E39" s="45">
        <v>3768</v>
      </c>
      <c r="F39" s="162">
        <v>3.79</v>
      </c>
      <c r="G39" s="11"/>
      <c r="H39" s="156">
        <f t="shared" ref="H39:H41" si="13">AVERAGE(F39:G39)</f>
        <v>3.79</v>
      </c>
      <c r="I39" s="8">
        <f t="shared" ref="I39:I41" si="14">C39*H39</f>
        <v>11.370000000000001</v>
      </c>
    </row>
    <row r="40" spans="1:14" ht="15.75">
      <c r="A40" s="4">
        <v>36</v>
      </c>
      <c r="B40" s="424" t="s">
        <v>1341</v>
      </c>
      <c r="C40" s="168">
        <v>1</v>
      </c>
      <c r="D40" s="1" t="s">
        <v>3</v>
      </c>
      <c r="E40" s="45">
        <v>44534</v>
      </c>
      <c r="F40" s="162">
        <v>4.95</v>
      </c>
      <c r="G40" s="11"/>
      <c r="H40" s="156">
        <f t="shared" si="13"/>
        <v>4.95</v>
      </c>
      <c r="I40" s="8">
        <f t="shared" si="14"/>
        <v>4.95</v>
      </c>
    </row>
    <row r="41" spans="1:14" ht="15.75">
      <c r="A41" s="4">
        <v>37</v>
      </c>
      <c r="B41" s="424" t="s">
        <v>1357</v>
      </c>
      <c r="C41" s="168">
        <v>6</v>
      </c>
      <c r="D41" s="1" t="s">
        <v>3</v>
      </c>
      <c r="E41" s="45"/>
      <c r="F41" s="162"/>
      <c r="G41" s="11">
        <f>AVERAGE(K41:N41)</f>
        <v>1.5275000000000001</v>
      </c>
      <c r="H41" s="156">
        <f t="shared" si="13"/>
        <v>1.5275000000000001</v>
      </c>
      <c r="I41" s="8">
        <f t="shared" si="14"/>
        <v>9.1650000000000009</v>
      </c>
      <c r="K41">
        <v>0.9</v>
      </c>
      <c r="L41">
        <v>0.8</v>
      </c>
      <c r="M41">
        <v>2.91</v>
      </c>
      <c r="N41">
        <v>1.5</v>
      </c>
    </row>
    <row r="42" spans="1:14" ht="15.75">
      <c r="A42" s="4">
        <v>38</v>
      </c>
      <c r="B42" s="424" t="s">
        <v>18</v>
      </c>
      <c r="C42" s="1">
        <v>30</v>
      </c>
      <c r="D42" s="1" t="s">
        <v>3</v>
      </c>
      <c r="E42" s="45">
        <v>39435</v>
      </c>
      <c r="F42" s="162">
        <v>1.2</v>
      </c>
      <c r="G42" s="11"/>
      <c r="H42" s="156">
        <f t="shared" si="1"/>
        <v>1.2</v>
      </c>
      <c r="I42" s="8">
        <f t="shared" si="0"/>
        <v>36</v>
      </c>
    </row>
    <row r="43" spans="1:14" ht="15.75">
      <c r="A43" s="4">
        <v>39</v>
      </c>
      <c r="B43" s="424" t="s">
        <v>19</v>
      </c>
      <c r="C43" s="1">
        <v>0.5</v>
      </c>
      <c r="D43" s="1" t="s">
        <v>10</v>
      </c>
      <c r="E43" s="45">
        <v>5068</v>
      </c>
      <c r="F43" s="162">
        <v>17.8</v>
      </c>
      <c r="G43" s="11"/>
      <c r="H43" s="156">
        <f t="shared" si="1"/>
        <v>17.8</v>
      </c>
      <c r="I43" s="8">
        <f t="shared" si="0"/>
        <v>8.9</v>
      </c>
    </row>
    <row r="44" spans="1:14" ht="15.75">
      <c r="A44" s="4">
        <v>40</v>
      </c>
      <c r="B44" s="424" t="s">
        <v>9</v>
      </c>
      <c r="C44" s="1">
        <v>1</v>
      </c>
      <c r="D44" s="1" t="s">
        <v>10</v>
      </c>
      <c r="E44" s="45">
        <v>345</v>
      </c>
      <c r="F44" s="162">
        <v>28.52</v>
      </c>
      <c r="G44" s="11"/>
      <c r="H44" s="156">
        <f>AVERAGE(F44:G44)</f>
        <v>28.52</v>
      </c>
      <c r="I44" s="8">
        <f>C44*H44</f>
        <v>28.52</v>
      </c>
    </row>
    <row r="45" spans="1:14" ht="15.75">
      <c r="A45" s="4">
        <v>41</v>
      </c>
      <c r="B45" s="424" t="s">
        <v>26</v>
      </c>
      <c r="C45" s="168">
        <v>3</v>
      </c>
      <c r="D45" s="168" t="s">
        <v>3</v>
      </c>
      <c r="E45" s="60">
        <v>39601</v>
      </c>
      <c r="F45" s="12">
        <v>38.479999999999997</v>
      </c>
      <c r="G45" s="11"/>
      <c r="H45" s="156">
        <f t="shared" ref="H45:H46" si="15">AVERAGE(F45:G45)</f>
        <v>38.479999999999997</v>
      </c>
      <c r="I45" s="8">
        <f t="shared" ref="I45:I46" si="16">C45*H45</f>
        <v>115.44</v>
      </c>
    </row>
    <row r="46" spans="1:14" ht="15.75">
      <c r="A46" s="4">
        <v>42</v>
      </c>
      <c r="B46" s="424" t="s">
        <v>27</v>
      </c>
      <c r="C46" s="168">
        <v>10</v>
      </c>
      <c r="D46" s="168" t="s">
        <v>3</v>
      </c>
      <c r="E46" s="60">
        <v>39603</v>
      </c>
      <c r="F46" s="12">
        <v>4.0999999999999996</v>
      </c>
      <c r="G46" s="11"/>
      <c r="H46" s="156">
        <f t="shared" si="15"/>
        <v>4.0999999999999996</v>
      </c>
      <c r="I46" s="8">
        <f t="shared" si="16"/>
        <v>41</v>
      </c>
      <c r="M46" s="167"/>
    </row>
    <row r="47" spans="1:14" ht="15.75">
      <c r="A47" s="4">
        <v>43</v>
      </c>
      <c r="B47" s="424" t="s">
        <v>1337</v>
      </c>
      <c r="C47" s="168">
        <v>50</v>
      </c>
      <c r="D47" s="168" t="s">
        <v>3</v>
      </c>
      <c r="E47" s="437" t="s">
        <v>1409</v>
      </c>
      <c r="F47" s="12">
        <v>1.0900000000000001</v>
      </c>
      <c r="G47" s="11"/>
      <c r="H47" s="156">
        <f t="shared" ref="H47:H61" si="17">AVERAGE(F47:G47)</f>
        <v>1.0900000000000001</v>
      </c>
      <c r="I47" s="8">
        <f t="shared" ref="I47:I61" si="18">C47*H47</f>
        <v>54.500000000000007</v>
      </c>
      <c r="M47" s="167"/>
    </row>
    <row r="48" spans="1:14" ht="15.75">
      <c r="A48" s="4">
        <v>44</v>
      </c>
      <c r="B48" s="424" t="s">
        <v>1408</v>
      </c>
      <c r="C48" s="168">
        <v>20</v>
      </c>
      <c r="D48" s="168" t="s">
        <v>3</v>
      </c>
      <c r="E48" s="60">
        <v>1570</v>
      </c>
      <c r="F48" s="12">
        <v>1.1399999999999999</v>
      </c>
      <c r="G48" s="11"/>
      <c r="H48" s="156">
        <f t="shared" si="17"/>
        <v>1.1399999999999999</v>
      </c>
      <c r="I48" s="8">
        <f t="shared" si="18"/>
        <v>22.799999999999997</v>
      </c>
      <c r="M48" s="167"/>
    </row>
    <row r="49" spans="1:13" ht="15.75">
      <c r="A49" s="4">
        <v>45</v>
      </c>
      <c r="B49" s="424" t="s">
        <v>1354</v>
      </c>
      <c r="C49" s="168">
        <v>10</v>
      </c>
      <c r="D49" s="168" t="s">
        <v>3</v>
      </c>
      <c r="E49" s="60">
        <v>1571</v>
      </c>
      <c r="F49" s="12">
        <v>1.48</v>
      </c>
      <c r="G49" s="11"/>
      <c r="H49" s="156">
        <f t="shared" si="17"/>
        <v>1.48</v>
      </c>
      <c r="I49" s="8">
        <f t="shared" si="18"/>
        <v>14.8</v>
      </c>
      <c r="M49" s="167"/>
    </row>
    <row r="50" spans="1:13" ht="15.75">
      <c r="A50" s="4">
        <v>46</v>
      </c>
      <c r="B50" s="424" t="s">
        <v>1413</v>
      </c>
      <c r="C50" s="168">
        <v>10</v>
      </c>
      <c r="D50" s="168" t="s">
        <v>3</v>
      </c>
      <c r="E50" s="60">
        <v>7583</v>
      </c>
      <c r="F50" s="12">
        <v>0.79</v>
      </c>
      <c r="G50" s="11"/>
      <c r="H50" s="156">
        <f t="shared" si="17"/>
        <v>0.79</v>
      </c>
      <c r="I50" s="8">
        <f t="shared" si="18"/>
        <v>7.9</v>
      </c>
      <c r="M50" s="167"/>
    </row>
    <row r="51" spans="1:13" ht="15.75">
      <c r="A51" s="4">
        <v>47</v>
      </c>
      <c r="B51" s="424" t="s">
        <v>1410</v>
      </c>
      <c r="C51" s="168">
        <v>10</v>
      </c>
      <c r="D51" s="168" t="s">
        <v>3</v>
      </c>
      <c r="E51" s="60">
        <v>11950</v>
      </c>
      <c r="F51" s="12">
        <v>0.39</v>
      </c>
      <c r="G51" s="11"/>
      <c r="H51" s="156">
        <f t="shared" si="17"/>
        <v>0.39</v>
      </c>
      <c r="I51" s="8">
        <f t="shared" si="18"/>
        <v>3.9000000000000004</v>
      </c>
      <c r="M51" s="167"/>
    </row>
    <row r="52" spans="1:13" ht="15.75">
      <c r="A52" s="4">
        <v>48</v>
      </c>
      <c r="B52" s="424" t="s">
        <v>1411</v>
      </c>
      <c r="C52" s="168">
        <v>10</v>
      </c>
      <c r="D52" s="168" t="s">
        <v>3</v>
      </c>
      <c r="E52" s="60">
        <v>7583</v>
      </c>
      <c r="F52" s="12">
        <v>0.79</v>
      </c>
      <c r="G52" s="11"/>
      <c r="H52" s="156">
        <f t="shared" si="17"/>
        <v>0.79</v>
      </c>
      <c r="I52" s="8">
        <f t="shared" si="18"/>
        <v>7.9</v>
      </c>
      <c r="M52" s="167"/>
    </row>
    <row r="53" spans="1:13" ht="15.75">
      <c r="A53" s="4">
        <v>49</v>
      </c>
      <c r="B53" s="424" t="s">
        <v>1412</v>
      </c>
      <c r="C53" s="168">
        <v>10</v>
      </c>
      <c r="D53" s="168" t="s">
        <v>3</v>
      </c>
      <c r="E53" s="60">
        <v>7568</v>
      </c>
      <c r="F53" s="12">
        <v>1.1599999999999999</v>
      </c>
      <c r="G53" s="11"/>
      <c r="H53" s="156">
        <f t="shared" si="17"/>
        <v>1.1599999999999999</v>
      </c>
      <c r="I53" s="8">
        <f t="shared" si="18"/>
        <v>11.6</v>
      </c>
      <c r="M53" s="167"/>
    </row>
    <row r="54" spans="1:13" ht="15.75">
      <c r="A54" s="4">
        <v>50</v>
      </c>
      <c r="B54" s="424" t="s">
        <v>1414</v>
      </c>
      <c r="C54" s="168">
        <v>0.3</v>
      </c>
      <c r="D54" s="168" t="s">
        <v>10</v>
      </c>
      <c r="E54" s="60">
        <v>10997</v>
      </c>
      <c r="F54" s="12">
        <v>44</v>
      </c>
      <c r="G54" s="11"/>
      <c r="H54" s="156">
        <f t="shared" si="17"/>
        <v>44</v>
      </c>
      <c r="I54" s="8">
        <f t="shared" si="18"/>
        <v>13.2</v>
      </c>
      <c r="M54" s="167"/>
    </row>
    <row r="55" spans="1:13" ht="15.75">
      <c r="A55" s="4">
        <v>51</v>
      </c>
      <c r="B55" s="424" t="s">
        <v>1349</v>
      </c>
      <c r="C55" s="168">
        <v>3</v>
      </c>
      <c r="D55" s="168" t="s">
        <v>3</v>
      </c>
      <c r="E55" s="60"/>
      <c r="F55" s="12"/>
      <c r="G55" s="11">
        <f>AVERAGE(K55:M55)</f>
        <v>40.166666666666664</v>
      </c>
      <c r="H55" s="439">
        <f t="shared" si="17"/>
        <v>40.166666666666664</v>
      </c>
      <c r="I55" s="145">
        <f t="shared" si="18"/>
        <v>120.5</v>
      </c>
      <c r="K55">
        <v>46.9</v>
      </c>
      <c r="L55">
        <v>33.700000000000003</v>
      </c>
      <c r="M55" s="167">
        <v>39.9</v>
      </c>
    </row>
    <row r="56" spans="1:13" ht="15.75">
      <c r="A56" s="4">
        <v>52</v>
      </c>
      <c r="B56" s="424" t="s">
        <v>1415</v>
      </c>
      <c r="C56" s="168">
        <v>2</v>
      </c>
      <c r="D56" s="168" t="s">
        <v>3</v>
      </c>
      <c r="E56" s="60"/>
      <c r="F56" s="12"/>
      <c r="G56" s="11">
        <v>4.22</v>
      </c>
      <c r="H56" s="156">
        <f t="shared" si="17"/>
        <v>4.22</v>
      </c>
      <c r="I56" s="8">
        <f t="shared" si="18"/>
        <v>8.44</v>
      </c>
      <c r="M56" s="167"/>
    </row>
    <row r="57" spans="1:13" ht="15.75">
      <c r="A57" s="4">
        <v>53</v>
      </c>
      <c r="B57" s="424" t="s">
        <v>1350</v>
      </c>
      <c r="C57" s="168">
        <v>1</v>
      </c>
      <c r="D57" s="168" t="s">
        <v>3</v>
      </c>
      <c r="E57" s="60"/>
      <c r="F57" s="12"/>
      <c r="G57" s="11">
        <v>44.82</v>
      </c>
      <c r="H57" s="156">
        <f t="shared" si="17"/>
        <v>44.82</v>
      </c>
      <c r="I57" s="8">
        <f t="shared" si="18"/>
        <v>44.82</v>
      </c>
      <c r="M57" s="167"/>
    </row>
    <row r="58" spans="1:13" ht="15.75">
      <c r="A58" s="4">
        <v>54</v>
      </c>
      <c r="B58" s="424" t="s">
        <v>1351</v>
      </c>
      <c r="C58" s="168">
        <v>1</v>
      </c>
      <c r="D58" s="168" t="s">
        <v>3</v>
      </c>
      <c r="E58" s="60">
        <v>39897</v>
      </c>
      <c r="F58" s="12">
        <v>95.61</v>
      </c>
      <c r="G58" s="11"/>
      <c r="H58" s="156">
        <f t="shared" si="17"/>
        <v>95.61</v>
      </c>
      <c r="I58" s="8">
        <f t="shared" si="18"/>
        <v>95.61</v>
      </c>
      <c r="M58" s="167"/>
    </row>
    <row r="59" spans="1:13" ht="15.75">
      <c r="A59" s="4">
        <v>55</v>
      </c>
      <c r="B59" s="424" t="s">
        <v>1352</v>
      </c>
      <c r="C59" s="168">
        <v>0.1</v>
      </c>
      <c r="D59" s="168" t="s">
        <v>10</v>
      </c>
      <c r="E59" s="60">
        <v>13388</v>
      </c>
      <c r="F59" s="12">
        <v>214.12</v>
      </c>
      <c r="G59" s="11"/>
      <c r="H59" s="156">
        <f t="shared" si="17"/>
        <v>214.12</v>
      </c>
      <c r="I59" s="8">
        <f t="shared" si="18"/>
        <v>21.412000000000003</v>
      </c>
      <c r="M59" s="167"/>
    </row>
    <row r="60" spans="1:13" ht="15.75">
      <c r="A60" s="4">
        <v>56</v>
      </c>
      <c r="B60" s="424" t="s">
        <v>1416</v>
      </c>
      <c r="C60" s="168">
        <v>0.1</v>
      </c>
      <c r="D60" s="168" t="s">
        <v>10</v>
      </c>
      <c r="E60" s="60">
        <v>39914</v>
      </c>
      <c r="F60" s="12">
        <v>451.98</v>
      </c>
      <c r="G60" s="11"/>
      <c r="H60" s="156">
        <f t="shared" si="17"/>
        <v>451.98</v>
      </c>
      <c r="I60" s="8">
        <f t="shared" si="18"/>
        <v>45.198000000000008</v>
      </c>
      <c r="M60" s="167"/>
    </row>
    <row r="61" spans="1:13" ht="15.75">
      <c r="A61" s="4">
        <v>57</v>
      </c>
      <c r="B61" s="424" t="s">
        <v>1353</v>
      </c>
      <c r="C61" s="168">
        <v>1</v>
      </c>
      <c r="D61" s="168" t="s">
        <v>3</v>
      </c>
      <c r="E61" s="60"/>
      <c r="F61" s="12"/>
      <c r="G61" s="11">
        <v>51.66</v>
      </c>
      <c r="H61" s="156">
        <f t="shared" si="17"/>
        <v>51.66</v>
      </c>
      <c r="I61" s="8">
        <f t="shared" si="18"/>
        <v>51.66</v>
      </c>
      <c r="M61" s="167"/>
    </row>
    <row r="62" spans="1:13" ht="15.75">
      <c r="A62" s="737" t="s">
        <v>28</v>
      </c>
      <c r="B62" s="737"/>
      <c r="C62" s="737"/>
      <c r="D62" s="737"/>
      <c r="E62" s="737"/>
      <c r="F62" s="737"/>
      <c r="G62" s="737"/>
      <c r="H62" s="737"/>
      <c r="I62" s="430">
        <f>SUM(I5:I61)</f>
        <v>1821.4085000000002</v>
      </c>
    </row>
    <row r="63" spans="1:13" ht="15.75">
      <c r="A63" s="737" t="s">
        <v>1417</v>
      </c>
      <c r="B63" s="737"/>
      <c r="C63" s="737"/>
      <c r="D63" s="737"/>
      <c r="E63" s="737"/>
      <c r="F63" s="737"/>
      <c r="G63" s="737"/>
      <c r="H63" s="737"/>
      <c r="I63" s="430">
        <f>I62/9</f>
        <v>202.37872222222225</v>
      </c>
    </row>
    <row r="64" spans="1:13" ht="15.75">
      <c r="B64" s="7"/>
      <c r="C64" s="6"/>
      <c r="D64" s="6"/>
      <c r="E64" s="10"/>
      <c r="F64" s="157"/>
    </row>
    <row r="66" spans="1:9" ht="30">
      <c r="A66" s="734" t="s">
        <v>29</v>
      </c>
      <c r="B66" s="734"/>
      <c r="C66" s="734"/>
      <c r="D66" s="734"/>
      <c r="E66" s="734"/>
      <c r="F66" s="166"/>
      <c r="G66" s="166"/>
      <c r="H66" s="166"/>
      <c r="I66" s="166"/>
    </row>
    <row r="67" spans="1:9" ht="31.5">
      <c r="A67" s="436" t="s">
        <v>1041</v>
      </c>
      <c r="B67" s="436" t="s">
        <v>1</v>
      </c>
      <c r="C67" s="436" t="s">
        <v>30</v>
      </c>
      <c r="D67" s="440" t="s">
        <v>1326</v>
      </c>
      <c r="E67" s="440" t="s">
        <v>6</v>
      </c>
      <c r="F67"/>
      <c r="G67"/>
    </row>
    <row r="68" spans="1:9" ht="15.75">
      <c r="A68" s="93">
        <v>1</v>
      </c>
      <c r="B68" s="448" t="s">
        <v>1361</v>
      </c>
      <c r="C68" s="444">
        <v>4</v>
      </c>
      <c r="D68" s="445">
        <v>53.19</v>
      </c>
      <c r="E68" s="446">
        <f t="shared" ref="E68:E128" si="19">D68*C68</f>
        <v>212.76</v>
      </c>
      <c r="F68"/>
      <c r="G68"/>
    </row>
    <row r="69" spans="1:9" ht="15.75">
      <c r="A69" s="93">
        <v>2</v>
      </c>
      <c r="B69" s="449" t="s">
        <v>32</v>
      </c>
      <c r="C69" s="4">
        <v>4</v>
      </c>
      <c r="D69" s="156">
        <v>36.76</v>
      </c>
      <c r="E69" s="8">
        <f t="shared" si="19"/>
        <v>147.04</v>
      </c>
      <c r="F69"/>
      <c r="G69"/>
    </row>
    <row r="70" spans="1:9" ht="15.75">
      <c r="A70" s="93">
        <v>3</v>
      </c>
      <c r="B70" s="449" t="s">
        <v>33</v>
      </c>
      <c r="C70" s="4">
        <v>2</v>
      </c>
      <c r="D70" s="156">
        <v>61.63</v>
      </c>
      <c r="E70" s="8">
        <f t="shared" si="19"/>
        <v>123.26</v>
      </c>
      <c r="F70"/>
      <c r="G70"/>
    </row>
    <row r="71" spans="1:9" ht="15.75">
      <c r="A71" s="93">
        <v>4</v>
      </c>
      <c r="B71" s="449" t="s">
        <v>34</v>
      </c>
      <c r="C71" s="4">
        <v>1</v>
      </c>
      <c r="D71" s="156">
        <v>82.47</v>
      </c>
      <c r="E71" s="8">
        <f t="shared" si="19"/>
        <v>82.47</v>
      </c>
      <c r="F71"/>
      <c r="G71"/>
    </row>
    <row r="72" spans="1:9" ht="15.75">
      <c r="A72" s="93">
        <v>5</v>
      </c>
      <c r="B72" s="449" t="s">
        <v>35</v>
      </c>
      <c r="C72" s="4">
        <v>1</v>
      </c>
      <c r="D72" s="156">
        <v>82.47</v>
      </c>
      <c r="E72" s="8">
        <f t="shared" si="19"/>
        <v>82.47</v>
      </c>
      <c r="F72"/>
      <c r="G72"/>
    </row>
    <row r="73" spans="1:9" ht="15.75">
      <c r="A73" s="93">
        <v>6</v>
      </c>
      <c r="B73" s="449" t="s">
        <v>36</v>
      </c>
      <c r="C73" s="4">
        <v>4</v>
      </c>
      <c r="D73" s="156">
        <v>28.83</v>
      </c>
      <c r="E73" s="8">
        <f t="shared" si="19"/>
        <v>115.32</v>
      </c>
      <c r="F73"/>
      <c r="G73"/>
    </row>
    <row r="74" spans="1:9" ht="15.75">
      <c r="A74" s="93">
        <v>7</v>
      </c>
      <c r="B74" s="450" t="s">
        <v>1360</v>
      </c>
      <c r="C74" s="4">
        <v>4</v>
      </c>
      <c r="D74" s="148">
        <v>25.95</v>
      </c>
      <c r="E74" s="8">
        <f t="shared" si="19"/>
        <v>103.8</v>
      </c>
      <c r="F74"/>
      <c r="G74"/>
    </row>
    <row r="75" spans="1:9" ht="15.75">
      <c r="A75" s="93">
        <v>8</v>
      </c>
      <c r="B75" s="450" t="s">
        <v>1362</v>
      </c>
      <c r="C75" s="4">
        <v>4</v>
      </c>
      <c r="D75" s="156">
        <v>30.3</v>
      </c>
      <c r="E75" s="8">
        <f>D75*C75</f>
        <v>121.2</v>
      </c>
      <c r="F75"/>
      <c r="G75"/>
    </row>
    <row r="76" spans="1:9" ht="15.75">
      <c r="A76" s="93">
        <v>9</v>
      </c>
      <c r="B76" s="449" t="s">
        <v>37</v>
      </c>
      <c r="C76" s="4">
        <v>4</v>
      </c>
      <c r="D76" s="8">
        <v>267.77999999999997</v>
      </c>
      <c r="E76" s="8">
        <f t="shared" si="19"/>
        <v>1071.1199999999999</v>
      </c>
      <c r="F76"/>
      <c r="G76"/>
    </row>
    <row r="77" spans="1:9" ht="15.75">
      <c r="A77" s="93">
        <v>10</v>
      </c>
      <c r="B77" s="449" t="s">
        <v>1328</v>
      </c>
      <c r="C77" s="4">
        <v>1</v>
      </c>
      <c r="D77" s="8">
        <v>277.7</v>
      </c>
      <c r="E77" s="8">
        <f t="shared" si="19"/>
        <v>277.7</v>
      </c>
      <c r="F77"/>
      <c r="G77"/>
    </row>
    <row r="78" spans="1:9" ht="15.75">
      <c r="A78" s="93">
        <v>11</v>
      </c>
      <c r="B78" s="449" t="s">
        <v>1329</v>
      </c>
      <c r="C78" s="4">
        <v>4</v>
      </c>
      <c r="D78" s="8">
        <v>155.94999999999999</v>
      </c>
      <c r="E78" s="8">
        <f t="shared" si="19"/>
        <v>623.79999999999995</v>
      </c>
      <c r="F78"/>
      <c r="G78"/>
    </row>
    <row r="79" spans="1:9" ht="15.75">
      <c r="A79" s="93">
        <v>12</v>
      </c>
      <c r="B79" s="449" t="s">
        <v>1330</v>
      </c>
      <c r="C79" s="4">
        <v>4</v>
      </c>
      <c r="D79" s="8">
        <v>155.94999999999999</v>
      </c>
      <c r="E79" s="8">
        <f t="shared" si="19"/>
        <v>623.79999999999995</v>
      </c>
      <c r="F79"/>
      <c r="G79"/>
    </row>
    <row r="80" spans="1:9" ht="15.75">
      <c r="A80" s="93">
        <v>13</v>
      </c>
      <c r="B80" s="449" t="s">
        <v>1331</v>
      </c>
      <c r="C80" s="4">
        <v>4</v>
      </c>
      <c r="D80" s="8">
        <v>232.5</v>
      </c>
      <c r="E80" s="8">
        <f t="shared" si="19"/>
        <v>930</v>
      </c>
      <c r="F80"/>
      <c r="G80"/>
    </row>
    <row r="81" spans="1:7" ht="15.75">
      <c r="A81" s="93">
        <v>14</v>
      </c>
      <c r="B81" s="449" t="s">
        <v>38</v>
      </c>
      <c r="C81" s="4">
        <v>2</v>
      </c>
      <c r="D81" s="8">
        <v>108.66</v>
      </c>
      <c r="E81" s="8">
        <f t="shared" si="19"/>
        <v>217.32</v>
      </c>
      <c r="F81"/>
      <c r="G81"/>
    </row>
    <row r="82" spans="1:7" ht="15.75">
      <c r="A82" s="93">
        <v>15</v>
      </c>
      <c r="B82" s="449" t="s">
        <v>39</v>
      </c>
      <c r="C82" s="4">
        <v>2</v>
      </c>
      <c r="D82" s="8">
        <v>108.66</v>
      </c>
      <c r="E82" s="8">
        <f t="shared" si="19"/>
        <v>217.32</v>
      </c>
      <c r="F82"/>
      <c r="G82"/>
    </row>
    <row r="83" spans="1:7" ht="15.75">
      <c r="A83" s="93">
        <v>16</v>
      </c>
      <c r="B83" s="449" t="s">
        <v>40</v>
      </c>
      <c r="C83" s="4">
        <v>2</v>
      </c>
      <c r="D83" s="8">
        <v>255.47</v>
      </c>
      <c r="E83" s="8">
        <f t="shared" si="19"/>
        <v>510.94</v>
      </c>
      <c r="F83"/>
      <c r="G83"/>
    </row>
    <row r="84" spans="1:7" ht="15.75">
      <c r="A84" s="93">
        <v>17</v>
      </c>
      <c r="B84" s="449" t="s">
        <v>41</v>
      </c>
      <c r="C84" s="4">
        <v>2</v>
      </c>
      <c r="D84" s="8">
        <v>1098.53</v>
      </c>
      <c r="E84" s="8">
        <f t="shared" si="19"/>
        <v>2197.06</v>
      </c>
      <c r="F84"/>
      <c r="G84"/>
    </row>
    <row r="85" spans="1:7" ht="15.75">
      <c r="A85" s="93">
        <v>18</v>
      </c>
      <c r="B85" s="449" t="s">
        <v>42</v>
      </c>
      <c r="C85" s="4">
        <v>6</v>
      </c>
      <c r="D85" s="8">
        <v>8.5</v>
      </c>
      <c r="E85" s="8">
        <f t="shared" si="19"/>
        <v>51</v>
      </c>
      <c r="F85"/>
      <c r="G85"/>
    </row>
    <row r="86" spans="1:7" ht="15.75">
      <c r="A86" s="93">
        <v>19</v>
      </c>
      <c r="B86" s="449" t="s">
        <v>1297</v>
      </c>
      <c r="C86" s="4">
        <v>1</v>
      </c>
      <c r="D86" s="8">
        <v>440.9</v>
      </c>
      <c r="E86" s="8">
        <f t="shared" si="19"/>
        <v>440.9</v>
      </c>
      <c r="F86"/>
      <c r="G86"/>
    </row>
    <row r="87" spans="1:7" ht="15.75">
      <c r="A87" s="93">
        <v>20</v>
      </c>
      <c r="B87" s="449" t="s">
        <v>43</v>
      </c>
      <c r="C87" s="4">
        <v>2</v>
      </c>
      <c r="D87" s="8">
        <v>22.1</v>
      </c>
      <c r="E87" s="8">
        <f t="shared" si="19"/>
        <v>44.2</v>
      </c>
      <c r="F87"/>
      <c r="G87"/>
    </row>
    <row r="88" spans="1:7" ht="15.75">
      <c r="A88" s="93">
        <v>21</v>
      </c>
      <c r="B88" s="449" t="s">
        <v>1332</v>
      </c>
      <c r="C88" s="4">
        <v>4</v>
      </c>
      <c r="D88" s="8">
        <v>22.13</v>
      </c>
      <c r="E88" s="8">
        <f t="shared" si="19"/>
        <v>88.52</v>
      </c>
      <c r="F88"/>
      <c r="G88"/>
    </row>
    <row r="89" spans="1:7" ht="15.75">
      <c r="A89" s="93">
        <v>22</v>
      </c>
      <c r="B89" s="449" t="s">
        <v>44</v>
      </c>
      <c r="C89" s="4">
        <v>2</v>
      </c>
      <c r="D89" s="8">
        <v>557.38</v>
      </c>
      <c r="E89" s="8">
        <f t="shared" si="19"/>
        <v>1114.76</v>
      </c>
      <c r="F89"/>
      <c r="G89"/>
    </row>
    <row r="90" spans="1:7" ht="15.75">
      <c r="A90" s="93">
        <v>23</v>
      </c>
      <c r="B90" s="449" t="s">
        <v>1333</v>
      </c>
      <c r="C90" s="4">
        <v>4</v>
      </c>
      <c r="D90" s="8">
        <v>63.89</v>
      </c>
      <c r="E90" s="8">
        <f t="shared" si="19"/>
        <v>255.56</v>
      </c>
      <c r="F90"/>
      <c r="G90"/>
    </row>
    <row r="91" spans="1:7" ht="15.75">
      <c r="A91" s="93">
        <v>24</v>
      </c>
      <c r="B91" s="449" t="s">
        <v>1334</v>
      </c>
      <c r="C91" s="4">
        <v>4</v>
      </c>
      <c r="D91" s="8">
        <v>89.83</v>
      </c>
      <c r="E91" s="8">
        <f t="shared" si="19"/>
        <v>359.32</v>
      </c>
      <c r="F91"/>
      <c r="G91"/>
    </row>
    <row r="92" spans="1:7" ht="15.75">
      <c r="A92" s="93">
        <v>25</v>
      </c>
      <c r="B92" s="450" t="s">
        <v>1422</v>
      </c>
      <c r="C92" s="4">
        <v>1</v>
      </c>
      <c r="D92" s="8">
        <v>236.65</v>
      </c>
      <c r="E92" s="8">
        <f t="shared" si="19"/>
        <v>236.65</v>
      </c>
      <c r="F92"/>
      <c r="G92"/>
    </row>
    <row r="93" spans="1:7" ht="31.5">
      <c r="A93" s="93">
        <v>26</v>
      </c>
      <c r="B93" s="450" t="s">
        <v>1423</v>
      </c>
      <c r="C93" s="4">
        <v>1</v>
      </c>
      <c r="D93" s="8">
        <v>221.52</v>
      </c>
      <c r="E93" s="8">
        <f t="shared" si="19"/>
        <v>221.52</v>
      </c>
      <c r="F93"/>
      <c r="G93"/>
    </row>
    <row r="94" spans="1:7" ht="15.75">
      <c r="A94" s="93">
        <v>27</v>
      </c>
      <c r="B94" s="450" t="s">
        <v>1366</v>
      </c>
      <c r="C94" s="4">
        <v>1</v>
      </c>
      <c r="D94" s="8">
        <v>207.64</v>
      </c>
      <c r="E94" s="8">
        <f t="shared" si="19"/>
        <v>207.64</v>
      </c>
      <c r="F94"/>
      <c r="G94"/>
    </row>
    <row r="95" spans="1:7" ht="15.75">
      <c r="A95" s="93">
        <v>28</v>
      </c>
      <c r="B95" s="450" t="s">
        <v>1367</v>
      </c>
      <c r="C95" s="4">
        <v>4</v>
      </c>
      <c r="D95" s="8">
        <v>8.0500000000000007</v>
      </c>
      <c r="E95" s="8">
        <f t="shared" si="19"/>
        <v>32.200000000000003</v>
      </c>
      <c r="F95"/>
      <c r="G95"/>
    </row>
    <row r="96" spans="1:7" ht="15.75">
      <c r="A96" s="93">
        <v>29</v>
      </c>
      <c r="B96" s="447" t="s">
        <v>1368</v>
      </c>
      <c r="C96" s="4">
        <v>1</v>
      </c>
      <c r="D96" s="8">
        <v>32</v>
      </c>
      <c r="E96" s="8">
        <f t="shared" si="19"/>
        <v>32</v>
      </c>
      <c r="F96"/>
      <c r="G96"/>
    </row>
    <row r="97" spans="1:7" ht="15.75">
      <c r="A97" s="93">
        <v>30</v>
      </c>
      <c r="B97" s="447" t="s">
        <v>1369</v>
      </c>
      <c r="C97" s="4">
        <v>1</v>
      </c>
      <c r="D97" s="8">
        <v>63.98</v>
      </c>
      <c r="E97" s="8">
        <f t="shared" si="19"/>
        <v>63.98</v>
      </c>
      <c r="F97"/>
      <c r="G97"/>
    </row>
    <row r="98" spans="1:7" ht="15.75">
      <c r="A98" s="93">
        <v>31</v>
      </c>
      <c r="B98" s="449" t="s">
        <v>1420</v>
      </c>
      <c r="C98" s="4">
        <v>3</v>
      </c>
      <c r="D98" s="8">
        <v>56.37</v>
      </c>
      <c r="E98" s="8">
        <f t="shared" si="19"/>
        <v>169.10999999999999</v>
      </c>
      <c r="F98"/>
      <c r="G98"/>
    </row>
    <row r="99" spans="1:7" ht="15.75">
      <c r="A99" s="93">
        <v>32</v>
      </c>
      <c r="B99" s="449" t="s">
        <v>45</v>
      </c>
      <c r="C99" s="4">
        <v>1</v>
      </c>
      <c r="D99" s="8">
        <v>15.22</v>
      </c>
      <c r="E99" s="8">
        <f t="shared" si="19"/>
        <v>15.22</v>
      </c>
      <c r="F99"/>
      <c r="G99"/>
    </row>
    <row r="100" spans="1:7" ht="15.75">
      <c r="A100" s="93">
        <v>33</v>
      </c>
      <c r="B100" s="449" t="s">
        <v>46</v>
      </c>
      <c r="C100" s="4">
        <v>1</v>
      </c>
      <c r="D100" s="8">
        <v>14.06</v>
      </c>
      <c r="E100" s="8">
        <f t="shared" si="19"/>
        <v>14.06</v>
      </c>
      <c r="F100"/>
      <c r="G100"/>
    </row>
    <row r="101" spans="1:7" ht="15.75">
      <c r="A101" s="93">
        <v>34</v>
      </c>
      <c r="B101" s="449" t="s">
        <v>47</v>
      </c>
      <c r="C101" s="4">
        <v>1</v>
      </c>
      <c r="D101" s="8">
        <v>42.57</v>
      </c>
      <c r="E101" s="8">
        <f t="shared" si="19"/>
        <v>42.57</v>
      </c>
      <c r="F101"/>
      <c r="G101"/>
    </row>
    <row r="102" spans="1:7" ht="15.75">
      <c r="A102" s="93">
        <v>35</v>
      </c>
      <c r="B102" s="449" t="s">
        <v>1421</v>
      </c>
      <c r="C102" s="4">
        <v>1</v>
      </c>
      <c r="D102" s="8">
        <v>493.66</v>
      </c>
      <c r="E102" s="8">
        <f t="shared" si="19"/>
        <v>493.66</v>
      </c>
      <c r="F102"/>
      <c r="G102"/>
    </row>
    <row r="103" spans="1:7" ht="15.75">
      <c r="A103" s="93">
        <v>36</v>
      </c>
      <c r="B103" s="449" t="s">
        <v>48</v>
      </c>
      <c r="C103" s="4">
        <v>1</v>
      </c>
      <c r="D103" s="8">
        <v>29.46</v>
      </c>
      <c r="E103" s="8">
        <f t="shared" si="19"/>
        <v>29.46</v>
      </c>
      <c r="F103"/>
      <c r="G103"/>
    </row>
    <row r="104" spans="1:7" ht="15.75">
      <c r="A104" s="93">
        <v>37</v>
      </c>
      <c r="B104" s="449" t="s">
        <v>49</v>
      </c>
      <c r="C104" s="4">
        <v>2</v>
      </c>
      <c r="D104" s="8">
        <v>17.52</v>
      </c>
      <c r="E104" s="8">
        <f t="shared" si="19"/>
        <v>35.04</v>
      </c>
      <c r="F104"/>
      <c r="G104"/>
    </row>
    <row r="105" spans="1:7" ht="15.75">
      <c r="A105" s="93">
        <v>38</v>
      </c>
      <c r="B105" s="449" t="s">
        <v>50</v>
      </c>
      <c r="C105" s="4">
        <v>2</v>
      </c>
      <c r="D105" s="8">
        <v>52.87</v>
      </c>
      <c r="E105" s="8">
        <f t="shared" si="19"/>
        <v>105.74</v>
      </c>
      <c r="F105"/>
      <c r="G105"/>
    </row>
    <row r="106" spans="1:7" ht="15.75">
      <c r="A106" s="93">
        <v>39</v>
      </c>
      <c r="B106" s="449" t="s">
        <v>1299</v>
      </c>
      <c r="C106" s="4">
        <v>1</v>
      </c>
      <c r="D106" s="8">
        <v>40.1</v>
      </c>
      <c r="E106" s="8">
        <f t="shared" si="19"/>
        <v>40.1</v>
      </c>
      <c r="F106"/>
      <c r="G106"/>
    </row>
    <row r="107" spans="1:7" ht="15.75">
      <c r="A107" s="93">
        <v>40</v>
      </c>
      <c r="B107" s="449" t="s">
        <v>1298</v>
      </c>
      <c r="C107" s="4">
        <v>1</v>
      </c>
      <c r="D107" s="8">
        <v>20.62</v>
      </c>
      <c r="E107" s="8">
        <f t="shared" si="19"/>
        <v>20.62</v>
      </c>
      <c r="F107"/>
      <c r="G107"/>
    </row>
    <row r="108" spans="1:7" ht="15.75">
      <c r="A108" s="93">
        <v>41</v>
      </c>
      <c r="B108" s="449" t="s">
        <v>51</v>
      </c>
      <c r="C108" s="4">
        <v>10</v>
      </c>
      <c r="D108" s="8">
        <v>5.17</v>
      </c>
      <c r="E108" s="8">
        <f t="shared" si="19"/>
        <v>51.7</v>
      </c>
      <c r="F108"/>
      <c r="G108"/>
    </row>
    <row r="109" spans="1:7" ht="15.75">
      <c r="A109" s="93">
        <v>42</v>
      </c>
      <c r="B109" s="449" t="s">
        <v>52</v>
      </c>
      <c r="C109" s="4">
        <v>3</v>
      </c>
      <c r="D109" s="8">
        <v>12.17</v>
      </c>
      <c r="E109" s="8">
        <f t="shared" si="19"/>
        <v>36.51</v>
      </c>
      <c r="F109"/>
      <c r="G109"/>
    </row>
    <row r="110" spans="1:7" ht="15.75">
      <c r="A110" s="93">
        <v>43</v>
      </c>
      <c r="B110" s="449" t="s">
        <v>53</v>
      </c>
      <c r="C110" s="4">
        <v>1</v>
      </c>
      <c r="D110" s="8">
        <v>381.17</v>
      </c>
      <c r="E110" s="8">
        <f t="shared" si="19"/>
        <v>381.17</v>
      </c>
      <c r="F110"/>
      <c r="G110"/>
    </row>
    <row r="111" spans="1:7" ht="15.75">
      <c r="A111" s="93">
        <v>44</v>
      </c>
      <c r="B111" s="449" t="s">
        <v>1418</v>
      </c>
      <c r="C111" s="4">
        <v>1</v>
      </c>
      <c r="D111" s="8">
        <v>479.54</v>
      </c>
      <c r="E111" s="8">
        <f t="shared" si="19"/>
        <v>479.54</v>
      </c>
      <c r="F111"/>
      <c r="G111"/>
    </row>
    <row r="112" spans="1:7" ht="15.75">
      <c r="A112" s="93">
        <v>45</v>
      </c>
      <c r="B112" s="450" t="s">
        <v>1359</v>
      </c>
      <c r="C112" s="4">
        <v>2</v>
      </c>
      <c r="D112" s="8">
        <v>65.47</v>
      </c>
      <c r="E112" s="8">
        <f t="shared" si="19"/>
        <v>130.94</v>
      </c>
      <c r="F112"/>
      <c r="G112"/>
    </row>
    <row r="113" spans="1:9" ht="15.75">
      <c r="A113" s="93">
        <v>46</v>
      </c>
      <c r="B113" s="449" t="s">
        <v>54</v>
      </c>
      <c r="C113" s="4">
        <v>6</v>
      </c>
      <c r="D113" s="8">
        <v>11.87</v>
      </c>
      <c r="E113" s="8">
        <f t="shared" si="19"/>
        <v>71.22</v>
      </c>
      <c r="F113"/>
      <c r="G113"/>
    </row>
    <row r="114" spans="1:9" ht="15.75">
      <c r="A114" s="93">
        <v>47</v>
      </c>
      <c r="B114" s="449" t="s">
        <v>55</v>
      </c>
      <c r="C114" s="4">
        <v>1</v>
      </c>
      <c r="D114" s="8">
        <v>313.8</v>
      </c>
      <c r="E114" s="8">
        <f t="shared" si="19"/>
        <v>313.8</v>
      </c>
      <c r="F114"/>
      <c r="G114"/>
    </row>
    <row r="115" spans="1:9" ht="15.75">
      <c r="A115" s="93">
        <v>48</v>
      </c>
      <c r="B115" s="449" t="s">
        <v>1335</v>
      </c>
      <c r="C115" s="4">
        <v>2</v>
      </c>
      <c r="D115" s="8">
        <v>89.95</v>
      </c>
      <c r="E115" s="8">
        <f t="shared" si="19"/>
        <v>179.9</v>
      </c>
      <c r="F115"/>
      <c r="G115"/>
    </row>
    <row r="116" spans="1:9" ht="15.75">
      <c r="A116" s="93">
        <v>49</v>
      </c>
      <c r="B116" s="449" t="s">
        <v>56</v>
      </c>
      <c r="C116" s="4">
        <v>4</v>
      </c>
      <c r="D116" s="8">
        <v>35.54</v>
      </c>
      <c r="E116" s="8">
        <f t="shared" si="19"/>
        <v>142.16</v>
      </c>
      <c r="F116"/>
      <c r="G116"/>
    </row>
    <row r="117" spans="1:9" ht="15.75">
      <c r="A117" s="93">
        <v>50</v>
      </c>
      <c r="B117" s="449" t="s">
        <v>1336</v>
      </c>
      <c r="C117" s="4">
        <v>1</v>
      </c>
      <c r="D117" s="8">
        <v>1241.31</v>
      </c>
      <c r="E117" s="8">
        <f t="shared" si="19"/>
        <v>1241.31</v>
      </c>
      <c r="F117"/>
      <c r="G117"/>
    </row>
    <row r="118" spans="1:9" ht="15.75">
      <c r="A118" s="93">
        <v>51</v>
      </c>
      <c r="B118" s="450" t="s">
        <v>1364</v>
      </c>
      <c r="C118" s="4">
        <v>1</v>
      </c>
      <c r="D118" s="8">
        <v>17.63</v>
      </c>
      <c r="E118" s="8">
        <f t="shared" si="19"/>
        <v>17.63</v>
      </c>
      <c r="F118"/>
      <c r="G118"/>
    </row>
    <row r="119" spans="1:9" ht="15.75">
      <c r="A119" s="93">
        <v>52</v>
      </c>
      <c r="B119" s="447" t="s">
        <v>1372</v>
      </c>
      <c r="C119" s="4">
        <v>1</v>
      </c>
      <c r="D119" s="8">
        <v>230.27</v>
      </c>
      <c r="E119" s="8">
        <f t="shared" si="19"/>
        <v>230.27</v>
      </c>
      <c r="F119"/>
      <c r="G119"/>
    </row>
    <row r="120" spans="1:9" ht="15.75">
      <c r="A120" s="93">
        <v>53</v>
      </c>
      <c r="B120" s="447" t="s">
        <v>1424</v>
      </c>
      <c r="C120" s="4">
        <v>1</v>
      </c>
      <c r="D120" s="8">
        <v>14.39</v>
      </c>
      <c r="E120" s="8">
        <f t="shared" si="19"/>
        <v>14.39</v>
      </c>
      <c r="F120"/>
      <c r="G120"/>
    </row>
    <row r="121" spans="1:9" ht="15.75">
      <c r="A121" s="93">
        <v>54</v>
      </c>
      <c r="B121" s="447" t="s">
        <v>1371</v>
      </c>
      <c r="C121" s="4">
        <v>1</v>
      </c>
      <c r="D121" s="8">
        <v>291.14999999999998</v>
      </c>
      <c r="E121" s="8">
        <f t="shared" si="19"/>
        <v>291.14999999999998</v>
      </c>
      <c r="F121"/>
      <c r="G121"/>
    </row>
    <row r="122" spans="1:9" ht="15.75">
      <c r="A122" s="93">
        <v>55</v>
      </c>
      <c r="B122" s="453" t="s">
        <v>1376</v>
      </c>
      <c r="C122" s="4">
        <v>1</v>
      </c>
      <c r="D122" s="8">
        <f>ROUND(AVERAGE(G122:I122),2)</f>
        <v>33.979999999999997</v>
      </c>
      <c r="E122" s="8">
        <f t="shared" si="19"/>
        <v>33.979999999999997</v>
      </c>
      <c r="F122"/>
      <c r="G122">
        <v>38.29</v>
      </c>
      <c r="H122">
        <v>35.31</v>
      </c>
      <c r="I122">
        <v>28.33</v>
      </c>
    </row>
    <row r="123" spans="1:9" ht="15.75">
      <c r="A123" s="93">
        <v>56</v>
      </c>
      <c r="B123" s="452" t="s">
        <v>1363</v>
      </c>
      <c r="C123" s="4">
        <v>1</v>
      </c>
      <c r="D123" s="8">
        <f>ROUND(AVERAGE(G123:I123),2)</f>
        <v>1733.77</v>
      </c>
      <c r="E123" s="8">
        <f t="shared" si="19"/>
        <v>1733.77</v>
      </c>
      <c r="F123"/>
      <c r="G123" s="167">
        <v>1884.15</v>
      </c>
      <c r="H123" s="167">
        <v>1828.16</v>
      </c>
      <c r="I123" s="167">
        <v>1489</v>
      </c>
    </row>
    <row r="124" spans="1:9" ht="15.75">
      <c r="A124" s="93">
        <v>57</v>
      </c>
      <c r="B124" s="450" t="s">
        <v>1365</v>
      </c>
      <c r="C124" s="4">
        <v>1</v>
      </c>
      <c r="D124" s="8">
        <v>1852.86</v>
      </c>
      <c r="E124" s="8">
        <f t="shared" si="19"/>
        <v>1852.86</v>
      </c>
      <c r="F124"/>
      <c r="G124"/>
    </row>
    <row r="125" spans="1:9" ht="15.75">
      <c r="A125" s="93">
        <v>58</v>
      </c>
      <c r="B125" s="447" t="s">
        <v>1370</v>
      </c>
      <c r="C125" s="4">
        <v>1</v>
      </c>
      <c r="D125" s="8">
        <v>2313.65</v>
      </c>
      <c r="E125" s="8">
        <f t="shared" si="19"/>
        <v>2313.65</v>
      </c>
      <c r="F125"/>
      <c r="G125"/>
    </row>
    <row r="126" spans="1:9" ht="15.75">
      <c r="A126" s="93">
        <v>59</v>
      </c>
      <c r="B126" s="447" t="s">
        <v>1373</v>
      </c>
      <c r="C126" s="4">
        <v>1</v>
      </c>
      <c r="D126" s="8">
        <v>966.54</v>
      </c>
      <c r="E126" s="8">
        <f t="shared" si="19"/>
        <v>966.54</v>
      </c>
      <c r="F126"/>
      <c r="G126"/>
    </row>
    <row r="127" spans="1:9" ht="31.5">
      <c r="A127" s="93">
        <v>60</v>
      </c>
      <c r="B127" s="447" t="s">
        <v>1374</v>
      </c>
      <c r="C127" s="4">
        <v>1</v>
      </c>
      <c r="D127" s="8">
        <v>274.64999999999998</v>
      </c>
      <c r="E127" s="8">
        <f t="shared" si="19"/>
        <v>274.64999999999998</v>
      </c>
      <c r="F127"/>
      <c r="G127"/>
    </row>
    <row r="128" spans="1:9" ht="15.75">
      <c r="A128" s="93">
        <v>61</v>
      </c>
      <c r="B128" s="447" t="s">
        <v>1375</v>
      </c>
      <c r="C128" s="4">
        <v>1</v>
      </c>
      <c r="D128" s="8">
        <v>480.96</v>
      </c>
      <c r="E128" s="8">
        <f t="shared" si="19"/>
        <v>480.96</v>
      </c>
      <c r="F128"/>
      <c r="G128"/>
    </row>
    <row r="129" spans="1:9" ht="15.75">
      <c r="A129" s="93">
        <v>62</v>
      </c>
      <c r="B129" s="447" t="s">
        <v>1377</v>
      </c>
      <c r="C129" s="4">
        <v>2</v>
      </c>
      <c r="D129" s="8">
        <v>20.64</v>
      </c>
      <c r="E129" s="8">
        <f t="shared" ref="E129:E140" si="20">D129*C129</f>
        <v>41.28</v>
      </c>
      <c r="F129"/>
      <c r="G129"/>
    </row>
    <row r="130" spans="1:9" ht="15.75">
      <c r="A130" s="93">
        <v>63</v>
      </c>
      <c r="B130" s="447" t="s">
        <v>1378</v>
      </c>
      <c r="C130" s="4">
        <v>1</v>
      </c>
      <c r="D130" s="8">
        <v>36.869999999999997</v>
      </c>
      <c r="E130" s="8">
        <f t="shared" si="20"/>
        <v>36.869999999999997</v>
      </c>
      <c r="F130"/>
      <c r="G130"/>
    </row>
    <row r="131" spans="1:9" ht="31.5">
      <c r="A131" s="93">
        <v>64</v>
      </c>
      <c r="B131" s="447" t="s">
        <v>1379</v>
      </c>
      <c r="C131" s="4">
        <v>1</v>
      </c>
      <c r="D131" s="8">
        <v>4833.3500000000004</v>
      </c>
      <c r="E131" s="8">
        <f t="shared" si="20"/>
        <v>4833.3500000000004</v>
      </c>
      <c r="F131"/>
      <c r="G131"/>
    </row>
    <row r="132" spans="1:9" ht="31.5">
      <c r="A132" s="93">
        <v>65</v>
      </c>
      <c r="B132" s="447" t="s">
        <v>57</v>
      </c>
      <c r="C132" s="4">
        <v>1</v>
      </c>
      <c r="D132" s="8">
        <v>261.85000000000002</v>
      </c>
      <c r="E132" s="8">
        <f t="shared" si="20"/>
        <v>261.85000000000002</v>
      </c>
      <c r="F132"/>
      <c r="G132"/>
    </row>
    <row r="133" spans="1:9" ht="15.75">
      <c r="A133" s="93">
        <v>66</v>
      </c>
      <c r="B133" s="447" t="s">
        <v>1380</v>
      </c>
      <c r="C133" s="4">
        <v>1</v>
      </c>
      <c r="D133" s="8">
        <f>ROUND(AVERAGE(G133:I133),2)</f>
        <v>98.53</v>
      </c>
      <c r="E133" s="8">
        <f t="shared" si="20"/>
        <v>98.53</v>
      </c>
      <c r="F133"/>
      <c r="G133" s="167">
        <v>195.92</v>
      </c>
      <c r="H133" s="167">
        <v>42.99</v>
      </c>
      <c r="I133" s="167">
        <v>56.69</v>
      </c>
    </row>
    <row r="134" spans="1:9" ht="15.75">
      <c r="A134" s="93">
        <v>67</v>
      </c>
      <c r="B134" s="447" t="s">
        <v>1381</v>
      </c>
      <c r="C134" s="4">
        <v>1</v>
      </c>
      <c r="D134" s="8">
        <f>ROUND(AVERAGE(G134:I134),2)</f>
        <v>243.84</v>
      </c>
      <c r="E134" s="8">
        <f t="shared" si="20"/>
        <v>243.84</v>
      </c>
      <c r="F134"/>
      <c r="G134" s="167">
        <v>321</v>
      </c>
      <c r="H134" s="167">
        <v>282.31</v>
      </c>
      <c r="I134" s="167">
        <v>128.21</v>
      </c>
    </row>
    <row r="135" spans="1:9" ht="15.75">
      <c r="A135" s="93">
        <v>68</v>
      </c>
      <c r="B135" s="447" t="s">
        <v>1382</v>
      </c>
      <c r="C135" s="4">
        <v>1</v>
      </c>
      <c r="D135" s="8">
        <v>358.97</v>
      </c>
      <c r="E135" s="8">
        <f t="shared" si="20"/>
        <v>358.97</v>
      </c>
      <c r="F135"/>
      <c r="G135" s="167"/>
      <c r="H135" s="167"/>
      <c r="I135" s="167"/>
    </row>
    <row r="136" spans="1:9" ht="31.5">
      <c r="A136" s="93">
        <v>69</v>
      </c>
      <c r="B136" s="447" t="s">
        <v>1383</v>
      </c>
      <c r="C136" s="4">
        <v>1</v>
      </c>
      <c r="D136" s="8">
        <f>ROUND(AVERAGE(G136:I136),2)</f>
        <v>1232.9100000000001</v>
      </c>
      <c r="E136" s="8">
        <f t="shared" si="20"/>
        <v>1232.9100000000001</v>
      </c>
      <c r="F136"/>
      <c r="G136" s="167">
        <v>1275</v>
      </c>
      <c r="H136" s="167">
        <v>1296.54</v>
      </c>
      <c r="I136" s="167">
        <v>1127.19</v>
      </c>
    </row>
    <row r="137" spans="1:9" ht="15.75">
      <c r="A137" s="93">
        <v>70</v>
      </c>
      <c r="B137" s="447" t="s">
        <v>1425</v>
      </c>
      <c r="C137" s="4">
        <v>1</v>
      </c>
      <c r="D137" s="8">
        <v>569.70000000000005</v>
      </c>
      <c r="E137" s="8">
        <f t="shared" si="20"/>
        <v>569.70000000000005</v>
      </c>
      <c r="F137"/>
      <c r="G137" s="167"/>
      <c r="H137" s="167"/>
      <c r="I137" s="167"/>
    </row>
    <row r="138" spans="1:9" ht="15.75">
      <c r="A138" s="93">
        <v>71</v>
      </c>
      <c r="B138" s="447" t="s">
        <v>1384</v>
      </c>
      <c r="C138" s="4">
        <v>1</v>
      </c>
      <c r="D138" s="8">
        <v>112.66</v>
      </c>
      <c r="E138" s="8">
        <f t="shared" si="20"/>
        <v>112.66</v>
      </c>
      <c r="F138"/>
      <c r="G138" s="167"/>
      <c r="H138" s="167"/>
      <c r="I138" s="167"/>
    </row>
    <row r="139" spans="1:9" ht="15.75">
      <c r="A139" s="93">
        <v>72</v>
      </c>
      <c r="B139" s="447" t="s">
        <v>1385</v>
      </c>
      <c r="C139" s="4">
        <v>1</v>
      </c>
      <c r="D139" s="8">
        <f>ROUND(AVERAGE(G139:I139),2)</f>
        <v>41.16</v>
      </c>
      <c r="E139" s="8">
        <f t="shared" si="20"/>
        <v>41.16</v>
      </c>
      <c r="F139"/>
      <c r="G139" s="167">
        <v>48.9</v>
      </c>
      <c r="H139" s="167">
        <v>37.619999999999997</v>
      </c>
      <c r="I139" s="167">
        <v>36.950000000000003</v>
      </c>
    </row>
    <row r="140" spans="1:9" ht="15.75">
      <c r="A140" s="93">
        <v>73</v>
      </c>
      <c r="B140" s="447" t="s">
        <v>1776</v>
      </c>
      <c r="C140" s="4">
        <v>1</v>
      </c>
      <c r="D140" s="8">
        <v>1797.86</v>
      </c>
      <c r="E140" s="8">
        <f t="shared" si="20"/>
        <v>1797.86</v>
      </c>
      <c r="F140"/>
      <c r="G140" s="167"/>
      <c r="H140" s="167"/>
      <c r="I140" s="167"/>
    </row>
    <row r="141" spans="1:9" ht="15.75">
      <c r="A141" s="759" t="s">
        <v>1419</v>
      </c>
      <c r="B141" s="759"/>
      <c r="C141" s="759"/>
      <c r="D141" s="759"/>
      <c r="E141" s="454">
        <f>SUM(E68:E140)</f>
        <v>32638.289999999997</v>
      </c>
      <c r="F141" s="451"/>
      <c r="G141"/>
    </row>
    <row r="142" spans="1:9" ht="15.75">
      <c r="A142" s="748" t="s">
        <v>1426</v>
      </c>
      <c r="B142" s="749"/>
      <c r="C142" s="749"/>
      <c r="D142" s="750"/>
      <c r="E142" s="8">
        <f>(E141*0.8)/60</f>
        <v>435.17719999999997</v>
      </c>
    </row>
    <row r="143" spans="1:9" ht="32.25" customHeight="1">
      <c r="A143" s="761" t="s">
        <v>1427</v>
      </c>
      <c r="B143" s="762"/>
      <c r="C143" s="762"/>
      <c r="D143" s="763"/>
      <c r="E143" s="8">
        <f>E141*0.005</f>
        <v>163.19145</v>
      </c>
    </row>
    <row r="144" spans="1:9" ht="15.75">
      <c r="A144" s="760" t="s">
        <v>1428</v>
      </c>
      <c r="B144" s="760"/>
      <c r="C144" s="760"/>
      <c r="D144" s="760"/>
      <c r="E144" s="430">
        <f>(E142+E143)/9</f>
        <v>66.485405555555559</v>
      </c>
    </row>
    <row r="145" spans="2:10" ht="15.75">
      <c r="B145" s="154"/>
      <c r="C145" s="155"/>
      <c r="E145" s="13"/>
      <c r="F145" s="159"/>
      <c r="G145" s="159"/>
      <c r="H145" s="13"/>
      <c r="I145" s="13"/>
      <c r="J145" s="13"/>
    </row>
    <row r="146" spans="2:10" ht="31.5" customHeight="1">
      <c r="B146" s="756" t="s">
        <v>58</v>
      </c>
      <c r="C146" s="757"/>
      <c r="D146" s="757"/>
      <c r="E146" s="758"/>
      <c r="F146" s="166"/>
      <c r="G146"/>
    </row>
    <row r="147" spans="2:10" ht="18.75" customHeight="1">
      <c r="B147" s="745" t="s">
        <v>1292</v>
      </c>
      <c r="C147" s="746"/>
      <c r="D147" s="746"/>
      <c r="E147" s="747"/>
      <c r="F147" s="166"/>
      <c r="G147"/>
    </row>
    <row r="148" spans="2:10" ht="28.5" customHeight="1">
      <c r="B148" s="744" t="s">
        <v>1</v>
      </c>
      <c r="C148" s="744" t="s">
        <v>59</v>
      </c>
      <c r="D148" s="438" t="s">
        <v>4</v>
      </c>
      <c r="E148" s="741" t="s">
        <v>1295</v>
      </c>
      <c r="F148" s="6"/>
      <c r="G148" s="117"/>
      <c r="H148" s="117"/>
    </row>
    <row r="149" spans="2:10" ht="31.5">
      <c r="B149" s="744"/>
      <c r="C149" s="744"/>
      <c r="D149" s="440" t="s">
        <v>1326</v>
      </c>
      <c r="E149" s="743"/>
      <c r="F149" s="117"/>
      <c r="G149" s="117"/>
    </row>
    <row r="150" spans="2:10" ht="15.75">
      <c r="B150" s="1" t="s">
        <v>1430</v>
      </c>
      <c r="C150" s="1">
        <v>8</v>
      </c>
      <c r="D150" s="162">
        <v>69.63</v>
      </c>
      <c r="E150" s="8">
        <f>C150*D150</f>
        <v>557.04</v>
      </c>
      <c r="F150" s="5"/>
      <c r="G150" s="5"/>
    </row>
    <row r="151" spans="2:10" ht="15.75">
      <c r="B151" s="1" t="s">
        <v>60</v>
      </c>
      <c r="C151" s="1">
        <v>4</v>
      </c>
      <c r="D151" s="162">
        <v>59.47</v>
      </c>
      <c r="E151" s="8">
        <f t="shared" ref="E151:E153" si="21">C151*D151</f>
        <v>237.88</v>
      </c>
      <c r="F151" s="5"/>
      <c r="G151" s="5"/>
    </row>
    <row r="152" spans="2:10" ht="15.75">
      <c r="B152" s="1" t="s">
        <v>61</v>
      </c>
      <c r="C152" s="1">
        <v>2</v>
      </c>
      <c r="D152" s="162">
        <v>45.63</v>
      </c>
      <c r="E152" s="8">
        <f t="shared" si="21"/>
        <v>91.26</v>
      </c>
      <c r="F152" s="5"/>
      <c r="G152" s="5"/>
    </row>
    <row r="153" spans="2:10" ht="15.75">
      <c r="B153" s="1" t="s">
        <v>1294</v>
      </c>
      <c r="C153" s="1">
        <v>8</v>
      </c>
      <c r="D153" s="162">
        <v>5.25</v>
      </c>
      <c r="E153" s="8">
        <f t="shared" si="21"/>
        <v>42</v>
      </c>
      <c r="F153" s="5"/>
      <c r="G153" s="5"/>
    </row>
    <row r="154" spans="2:10" ht="15.75">
      <c r="B154" s="748" t="s">
        <v>62</v>
      </c>
      <c r="C154" s="749"/>
      <c r="D154" s="750"/>
      <c r="E154" s="152">
        <f>SUM(E150:E153)</f>
        <v>928.18</v>
      </c>
      <c r="F154"/>
      <c r="G154" s="14"/>
    </row>
    <row r="155" spans="2:10" ht="15.75">
      <c r="B155" s="748" t="s">
        <v>63</v>
      </c>
      <c r="C155" s="749"/>
      <c r="D155" s="750"/>
      <c r="E155" s="152">
        <f>E154/12</f>
        <v>77.348333333333329</v>
      </c>
      <c r="F155"/>
      <c r="G155"/>
    </row>
    <row r="156" spans="2:10" ht="6.75" customHeight="1">
      <c r="B156" s="9"/>
      <c r="C156" s="9"/>
      <c r="D156" s="9"/>
      <c r="E156" s="9"/>
      <c r="F156" s="157"/>
      <c r="G156" s="157"/>
      <c r="H156" s="9"/>
      <c r="I156" s="153"/>
    </row>
    <row r="157" spans="2:10" ht="18.75" customHeight="1">
      <c r="B157" s="745" t="s">
        <v>1293</v>
      </c>
      <c r="C157" s="746"/>
      <c r="D157" s="746"/>
      <c r="E157" s="747"/>
      <c r="F157" s="166"/>
      <c r="G157"/>
    </row>
    <row r="158" spans="2:10" ht="28.5" customHeight="1">
      <c r="B158" s="744" t="s">
        <v>1</v>
      </c>
      <c r="C158" s="744" t="s">
        <v>59</v>
      </c>
      <c r="D158" s="438" t="s">
        <v>4</v>
      </c>
      <c r="E158" s="741" t="s">
        <v>1295</v>
      </c>
      <c r="F158" s="6"/>
      <c r="G158" s="117"/>
      <c r="H158" s="117"/>
    </row>
    <row r="159" spans="2:10" ht="31.5">
      <c r="B159" s="744"/>
      <c r="C159" s="744"/>
      <c r="D159" s="440" t="s">
        <v>1326</v>
      </c>
      <c r="E159" s="743"/>
      <c r="F159" s="117"/>
      <c r="G159" s="117"/>
    </row>
    <row r="160" spans="2:10" ht="15.75">
      <c r="B160" s="1" t="s">
        <v>1429</v>
      </c>
      <c r="C160" s="1">
        <v>8</v>
      </c>
      <c r="D160" s="162">
        <v>14.14</v>
      </c>
      <c r="E160" s="8">
        <f>C160*D160</f>
        <v>113.12</v>
      </c>
      <c r="F160" s="5"/>
      <c r="G160" s="5"/>
    </row>
    <row r="161" spans="2:9" ht="15.75">
      <c r="B161" s="1" t="s">
        <v>60</v>
      </c>
      <c r="C161" s="1">
        <v>4</v>
      </c>
      <c r="D161" s="162">
        <f>D151</f>
        <v>59.47</v>
      </c>
      <c r="E161" s="8">
        <f t="shared" ref="E161:E163" si="22">C161*D161</f>
        <v>237.88</v>
      </c>
      <c r="F161" s="5"/>
      <c r="G161" s="5"/>
    </row>
    <row r="162" spans="2:9" ht="15.75">
      <c r="B162" s="1" t="s">
        <v>61</v>
      </c>
      <c r="C162" s="1">
        <v>2</v>
      </c>
      <c r="D162" s="162">
        <f t="shared" ref="D162:D163" si="23">D152</f>
        <v>45.63</v>
      </c>
      <c r="E162" s="8">
        <f t="shared" si="22"/>
        <v>91.26</v>
      </c>
      <c r="F162" s="5"/>
      <c r="G162" s="5"/>
    </row>
    <row r="163" spans="2:9" ht="15.75">
      <c r="B163" s="1" t="s">
        <v>1294</v>
      </c>
      <c r="C163" s="1">
        <v>8</v>
      </c>
      <c r="D163" s="162">
        <f t="shared" si="23"/>
        <v>5.25</v>
      </c>
      <c r="E163" s="8">
        <f t="shared" si="22"/>
        <v>42</v>
      </c>
      <c r="F163" s="5"/>
      <c r="G163" s="5"/>
    </row>
    <row r="164" spans="2:9" ht="15.75">
      <c r="B164" s="748" t="s">
        <v>62</v>
      </c>
      <c r="C164" s="749"/>
      <c r="D164" s="750"/>
      <c r="E164" s="152">
        <f>SUM(E160:E163)</f>
        <v>484.26</v>
      </c>
      <c r="F164"/>
      <c r="G164" s="14"/>
    </row>
    <row r="165" spans="2:9" ht="15.75">
      <c r="B165" s="748" t="s">
        <v>63</v>
      </c>
      <c r="C165" s="749"/>
      <c r="D165" s="750"/>
      <c r="E165" s="152">
        <f>E164/12</f>
        <v>40.354999999999997</v>
      </c>
      <c r="F165"/>
      <c r="G165"/>
    </row>
    <row r="166" spans="2:9" ht="15.75">
      <c r="B166" s="9"/>
      <c r="C166" s="9"/>
      <c r="D166" s="9"/>
      <c r="E166" s="9"/>
      <c r="F166" s="157"/>
      <c r="G166" s="157"/>
      <c r="H166" s="9"/>
      <c r="I166" s="153"/>
    </row>
    <row r="167" spans="2:9" ht="15.75">
      <c r="B167" s="9"/>
      <c r="C167" s="9"/>
      <c r="D167" s="9"/>
      <c r="E167" s="9"/>
      <c r="F167" s="157"/>
      <c r="G167" s="157"/>
      <c r="H167" s="9"/>
      <c r="I167" s="153"/>
    </row>
    <row r="168" spans="2:9" ht="30.75" customHeight="1">
      <c r="B168" s="756" t="s">
        <v>64</v>
      </c>
      <c r="C168" s="757"/>
      <c r="D168" s="757"/>
      <c r="E168" s="757"/>
      <c r="F168" s="757"/>
      <c r="G168" s="757"/>
      <c r="H168" s="758"/>
    </row>
    <row r="169" spans="2:9" ht="15.75" customHeight="1">
      <c r="B169" s="735" t="s">
        <v>1</v>
      </c>
      <c r="C169" s="735" t="s">
        <v>65</v>
      </c>
      <c r="D169" s="753" t="s">
        <v>4</v>
      </c>
      <c r="E169" s="754"/>
      <c r="F169" s="755"/>
      <c r="G169" s="741" t="s">
        <v>5</v>
      </c>
      <c r="H169" s="741" t="s">
        <v>66</v>
      </c>
    </row>
    <row r="170" spans="2:9" ht="31.5">
      <c r="B170" s="736"/>
      <c r="C170" s="736"/>
      <c r="D170" s="440" t="s">
        <v>1326</v>
      </c>
      <c r="E170" s="751" t="s">
        <v>1786</v>
      </c>
      <c r="F170" s="752"/>
      <c r="G170" s="742"/>
      <c r="H170" s="742"/>
    </row>
    <row r="171" spans="2:9" ht="15.75">
      <c r="B171" s="45" t="s">
        <v>67</v>
      </c>
      <c r="C171" s="1">
        <v>2</v>
      </c>
      <c r="D171" s="156"/>
      <c r="E171" s="156">
        <v>150.53</v>
      </c>
      <c r="F171" s="160">
        <v>36148</v>
      </c>
      <c r="G171" s="8">
        <f>ROUND(AVERAGE(D171:E171),2)</f>
        <v>150.53</v>
      </c>
      <c r="H171" s="8">
        <f>G171*C171</f>
        <v>301.06</v>
      </c>
    </row>
    <row r="172" spans="2:9" ht="15.75">
      <c r="B172" s="45" t="s">
        <v>68</v>
      </c>
      <c r="C172" s="1">
        <v>2</v>
      </c>
      <c r="D172" s="156">
        <v>212.28</v>
      </c>
      <c r="E172" s="156">
        <v>260.32</v>
      </c>
      <c r="F172" s="160">
        <v>36147</v>
      </c>
      <c r="G172" s="8">
        <f t="shared" ref="G172:G177" si="24">ROUND(AVERAGE(D172:E172),2)</f>
        <v>236.3</v>
      </c>
      <c r="H172" s="8">
        <f t="shared" ref="H172:H177" si="25">G172*C172</f>
        <v>472.6</v>
      </c>
    </row>
    <row r="173" spans="2:9" ht="15.75">
      <c r="B173" s="45" t="s">
        <v>69</v>
      </c>
      <c r="C173" s="1">
        <v>6</v>
      </c>
      <c r="D173" s="156"/>
      <c r="E173" s="156">
        <v>11</v>
      </c>
      <c r="F173" s="160">
        <v>12892</v>
      </c>
      <c r="G173" s="8">
        <f t="shared" si="24"/>
        <v>11</v>
      </c>
      <c r="H173" s="8">
        <f t="shared" si="25"/>
        <v>66</v>
      </c>
    </row>
    <row r="174" spans="2:9" ht="15.75">
      <c r="B174" s="45" t="s">
        <v>70</v>
      </c>
      <c r="C174" s="1">
        <v>10</v>
      </c>
      <c r="D174" s="156">
        <v>5.9</v>
      </c>
      <c r="F174" s="160"/>
      <c r="G174" s="8">
        <f t="shared" si="24"/>
        <v>5.9</v>
      </c>
      <c r="H174" s="8">
        <f t="shared" si="25"/>
        <v>59</v>
      </c>
    </row>
    <row r="175" spans="2:9" ht="15.75">
      <c r="B175" s="45" t="s">
        <v>71</v>
      </c>
      <c r="C175" s="1">
        <v>18</v>
      </c>
      <c r="D175" s="156">
        <v>6.55</v>
      </c>
      <c r="E175" s="156">
        <v>5.24</v>
      </c>
      <c r="F175" s="160">
        <v>36152</v>
      </c>
      <c r="G175" s="8">
        <f t="shared" si="24"/>
        <v>5.9</v>
      </c>
      <c r="H175" s="8">
        <f t="shared" si="25"/>
        <v>106.2</v>
      </c>
    </row>
    <row r="176" spans="2:9" ht="15.75">
      <c r="B176" s="45" t="s">
        <v>72</v>
      </c>
      <c r="C176" s="1">
        <v>18</v>
      </c>
      <c r="D176" s="156">
        <v>2.1800000000000002</v>
      </c>
      <c r="E176" s="156">
        <v>2.04</v>
      </c>
      <c r="F176" s="160">
        <v>36142</v>
      </c>
      <c r="G176" s="8">
        <f t="shared" si="24"/>
        <v>2.11</v>
      </c>
      <c r="H176" s="8">
        <f t="shared" si="25"/>
        <v>37.979999999999997</v>
      </c>
    </row>
    <row r="177" spans="2:8" ht="15.75">
      <c r="B177" s="45" t="s">
        <v>73</v>
      </c>
      <c r="C177" s="1">
        <v>100</v>
      </c>
      <c r="D177" s="156"/>
      <c r="E177" s="156">
        <v>1.6</v>
      </c>
      <c r="F177" s="160">
        <v>36144</v>
      </c>
      <c r="G177" s="8">
        <f t="shared" si="24"/>
        <v>1.6</v>
      </c>
      <c r="H177" s="8">
        <f t="shared" si="25"/>
        <v>160</v>
      </c>
    </row>
    <row r="178" spans="2:8" ht="15.75">
      <c r="B178" s="748" t="s">
        <v>62</v>
      </c>
      <c r="C178" s="749"/>
      <c r="D178" s="749"/>
      <c r="E178" s="749"/>
      <c r="F178" s="749"/>
      <c r="G178" s="750"/>
      <c r="H178" s="152">
        <f>SUM(H171:H177)</f>
        <v>1202.8400000000001</v>
      </c>
    </row>
    <row r="179" spans="2:8" ht="15.75">
      <c r="B179" s="748" t="s">
        <v>1296</v>
      </c>
      <c r="C179" s="749"/>
      <c r="D179" s="749"/>
      <c r="E179" s="749"/>
      <c r="F179" s="749"/>
      <c r="G179" s="750"/>
      <c r="H179" s="152">
        <f>H178/12/9</f>
        <v>11.137407407407409</v>
      </c>
    </row>
    <row r="181" spans="2:8" ht="15.75">
      <c r="G181" s="165"/>
    </row>
    <row r="182" spans="2:8" ht="15.75">
      <c r="G182" s="165"/>
    </row>
    <row r="183" spans="2:8" ht="15.75">
      <c r="G183" s="165"/>
    </row>
    <row r="184" spans="2:8" ht="15.75">
      <c r="G184" s="165"/>
    </row>
    <row r="185" spans="2:8" ht="15.75">
      <c r="G185" s="165"/>
    </row>
    <row r="186" spans="2:8" ht="15.75">
      <c r="G186" s="165"/>
    </row>
    <row r="187" spans="2:8" ht="15.75">
      <c r="G187" s="165"/>
    </row>
  </sheetData>
  <mergeCells count="38">
    <mergeCell ref="B178:G178"/>
    <mergeCell ref="B179:G179"/>
    <mergeCell ref="A141:D141"/>
    <mergeCell ref="A144:D144"/>
    <mergeCell ref="A142:D142"/>
    <mergeCell ref="A143:D143"/>
    <mergeCell ref="B148:B149"/>
    <mergeCell ref="C148:C149"/>
    <mergeCell ref="B146:E146"/>
    <mergeCell ref="B147:E147"/>
    <mergeCell ref="B154:D154"/>
    <mergeCell ref="B155:D155"/>
    <mergeCell ref="G169:G170"/>
    <mergeCell ref="H169:H170"/>
    <mergeCell ref="E148:E149"/>
    <mergeCell ref="B158:B159"/>
    <mergeCell ref="C158:C159"/>
    <mergeCell ref="B157:E157"/>
    <mergeCell ref="E158:E159"/>
    <mergeCell ref="B164:D164"/>
    <mergeCell ref="E170:F170"/>
    <mergeCell ref="B169:B170"/>
    <mergeCell ref="C169:C170"/>
    <mergeCell ref="B165:D165"/>
    <mergeCell ref="D169:F169"/>
    <mergeCell ref="B168:H168"/>
    <mergeCell ref="A66:E66"/>
    <mergeCell ref="A3:A4"/>
    <mergeCell ref="A2:I2"/>
    <mergeCell ref="A62:H62"/>
    <mergeCell ref="A63:H63"/>
    <mergeCell ref="I3:I4"/>
    <mergeCell ref="B3:B4"/>
    <mergeCell ref="C3:C4"/>
    <mergeCell ref="D3:D4"/>
    <mergeCell ref="E4:F4"/>
    <mergeCell ref="H3:H4"/>
    <mergeCell ref="E3:G3"/>
  </mergeCells>
  <phoneticPr fontId="15" type="noConversion"/>
  <pageMargins left="0.511811024" right="0.511811024" top="0.78740157499999996" bottom="0.78740157499999996" header="0.31496062000000002" footer="0.31496062000000002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C72AA-A4AD-4334-B038-7E25AA56643D}">
  <sheetPr>
    <tabColor rgb="FF7030A0"/>
    <pageSetUpPr fitToPage="1"/>
  </sheetPr>
  <dimension ref="A1:M303"/>
  <sheetViews>
    <sheetView zoomScaleNormal="100" workbookViewId="0">
      <selection activeCell="B49" sqref="B49"/>
    </sheetView>
  </sheetViews>
  <sheetFormatPr defaultRowHeight="15.75"/>
  <cols>
    <col min="1" max="1" width="7.85546875" style="81" customWidth="1"/>
    <col min="2" max="2" width="108.42578125" style="81" customWidth="1"/>
    <col min="3" max="3" width="12" style="502" customWidth="1"/>
    <col min="4" max="4" width="13" style="503" customWidth="1"/>
    <col min="5" max="5" width="16.5703125" style="504" customWidth="1"/>
    <col min="6" max="7" width="16.28515625" style="504" customWidth="1"/>
    <col min="8" max="8" width="11.85546875" style="386" hidden="1" customWidth="1"/>
    <col min="9" max="10" width="0" style="386" hidden="1" customWidth="1"/>
    <col min="11" max="11" width="11.85546875" style="386" hidden="1" customWidth="1"/>
    <col min="12" max="14" width="0" style="386" hidden="1" customWidth="1"/>
    <col min="15" max="253" width="9.140625" style="386"/>
    <col min="254" max="254" width="7.85546875" style="386" customWidth="1"/>
    <col min="255" max="255" width="69.42578125" style="386" customWidth="1"/>
    <col min="256" max="256" width="10.28515625" style="386" customWidth="1"/>
    <col min="257" max="257" width="11.140625" style="386" customWidth="1"/>
    <col min="258" max="258" width="11.28515625" style="386" customWidth="1"/>
    <col min="259" max="259" width="12.7109375" style="386" customWidth="1"/>
    <col min="260" max="260" width="17.5703125" style="386" customWidth="1"/>
    <col min="261" max="261" width="18.5703125" style="386" customWidth="1"/>
    <col min="262" max="262" width="21.5703125" style="386" customWidth="1"/>
    <col min="263" max="263" width="9.140625" style="386"/>
    <col min="264" max="270" width="0" style="386" hidden="1" customWidth="1"/>
    <col min="271" max="509" width="9.140625" style="386"/>
    <col min="510" max="510" width="7.85546875" style="386" customWidth="1"/>
    <col min="511" max="511" width="69.42578125" style="386" customWidth="1"/>
    <col min="512" max="512" width="10.28515625" style="386" customWidth="1"/>
    <col min="513" max="513" width="11.140625" style="386" customWidth="1"/>
    <col min="514" max="514" width="11.28515625" style="386" customWidth="1"/>
    <col min="515" max="515" width="12.7109375" style="386" customWidth="1"/>
    <col min="516" max="516" width="17.5703125" style="386" customWidth="1"/>
    <col min="517" max="517" width="18.5703125" style="386" customWidth="1"/>
    <col min="518" max="518" width="21.5703125" style="386" customWidth="1"/>
    <col min="519" max="519" width="9.140625" style="386"/>
    <col min="520" max="526" width="0" style="386" hidden="1" customWidth="1"/>
    <col min="527" max="765" width="9.140625" style="386"/>
    <col min="766" max="766" width="7.85546875" style="386" customWidth="1"/>
    <col min="767" max="767" width="69.42578125" style="386" customWidth="1"/>
    <col min="768" max="768" width="10.28515625" style="386" customWidth="1"/>
    <col min="769" max="769" width="11.140625" style="386" customWidth="1"/>
    <col min="770" max="770" width="11.28515625" style="386" customWidth="1"/>
    <col min="771" max="771" width="12.7109375" style="386" customWidth="1"/>
    <col min="772" max="772" width="17.5703125" style="386" customWidth="1"/>
    <col min="773" max="773" width="18.5703125" style="386" customWidth="1"/>
    <col min="774" max="774" width="21.5703125" style="386" customWidth="1"/>
    <col min="775" max="775" width="9.140625" style="386"/>
    <col min="776" max="782" width="0" style="386" hidden="1" customWidth="1"/>
    <col min="783" max="1021" width="9.140625" style="386"/>
    <col min="1022" max="1022" width="7.85546875" style="386" customWidth="1"/>
    <col min="1023" max="1023" width="69.42578125" style="386" customWidth="1"/>
    <col min="1024" max="1024" width="10.28515625" style="386" customWidth="1"/>
    <col min="1025" max="1025" width="11.140625" style="386" customWidth="1"/>
    <col min="1026" max="1026" width="11.28515625" style="386" customWidth="1"/>
    <col min="1027" max="1027" width="12.7109375" style="386" customWidth="1"/>
    <col min="1028" max="1028" width="17.5703125" style="386" customWidth="1"/>
    <col min="1029" max="1029" width="18.5703125" style="386" customWidth="1"/>
    <col min="1030" max="1030" width="21.5703125" style="386" customWidth="1"/>
    <col min="1031" max="1031" width="9.140625" style="386"/>
    <col min="1032" max="1038" width="0" style="386" hidden="1" customWidth="1"/>
    <col min="1039" max="1277" width="9.140625" style="386"/>
    <col min="1278" max="1278" width="7.85546875" style="386" customWidth="1"/>
    <col min="1279" max="1279" width="69.42578125" style="386" customWidth="1"/>
    <col min="1280" max="1280" width="10.28515625" style="386" customWidth="1"/>
    <col min="1281" max="1281" width="11.140625" style="386" customWidth="1"/>
    <col min="1282" max="1282" width="11.28515625" style="386" customWidth="1"/>
    <col min="1283" max="1283" width="12.7109375" style="386" customWidth="1"/>
    <col min="1284" max="1284" width="17.5703125" style="386" customWidth="1"/>
    <col min="1285" max="1285" width="18.5703125" style="386" customWidth="1"/>
    <col min="1286" max="1286" width="21.5703125" style="386" customWidth="1"/>
    <col min="1287" max="1287" width="9.140625" style="386"/>
    <col min="1288" max="1294" width="0" style="386" hidden="1" customWidth="1"/>
    <col min="1295" max="1533" width="9.140625" style="386"/>
    <col min="1534" max="1534" width="7.85546875" style="386" customWidth="1"/>
    <col min="1535" max="1535" width="69.42578125" style="386" customWidth="1"/>
    <col min="1536" max="1536" width="10.28515625" style="386" customWidth="1"/>
    <col min="1537" max="1537" width="11.140625" style="386" customWidth="1"/>
    <col min="1538" max="1538" width="11.28515625" style="386" customWidth="1"/>
    <col min="1539" max="1539" width="12.7109375" style="386" customWidth="1"/>
    <col min="1540" max="1540" width="17.5703125" style="386" customWidth="1"/>
    <col min="1541" max="1541" width="18.5703125" style="386" customWidth="1"/>
    <col min="1542" max="1542" width="21.5703125" style="386" customWidth="1"/>
    <col min="1543" max="1543" width="9.140625" style="386"/>
    <col min="1544" max="1550" width="0" style="386" hidden="1" customWidth="1"/>
    <col min="1551" max="1789" width="9.140625" style="386"/>
    <col min="1790" max="1790" width="7.85546875" style="386" customWidth="1"/>
    <col min="1791" max="1791" width="69.42578125" style="386" customWidth="1"/>
    <col min="1792" max="1792" width="10.28515625" style="386" customWidth="1"/>
    <col min="1793" max="1793" width="11.140625" style="386" customWidth="1"/>
    <col min="1794" max="1794" width="11.28515625" style="386" customWidth="1"/>
    <col min="1795" max="1795" width="12.7109375" style="386" customWidth="1"/>
    <col min="1796" max="1796" width="17.5703125" style="386" customWidth="1"/>
    <col min="1797" max="1797" width="18.5703125" style="386" customWidth="1"/>
    <col min="1798" max="1798" width="21.5703125" style="386" customWidth="1"/>
    <col min="1799" max="1799" width="9.140625" style="386"/>
    <col min="1800" max="1806" width="0" style="386" hidden="1" customWidth="1"/>
    <col min="1807" max="2045" width="9.140625" style="386"/>
    <col min="2046" max="2046" width="7.85546875" style="386" customWidth="1"/>
    <col min="2047" max="2047" width="69.42578125" style="386" customWidth="1"/>
    <col min="2048" max="2048" width="10.28515625" style="386" customWidth="1"/>
    <col min="2049" max="2049" width="11.140625" style="386" customWidth="1"/>
    <col min="2050" max="2050" width="11.28515625" style="386" customWidth="1"/>
    <col min="2051" max="2051" width="12.7109375" style="386" customWidth="1"/>
    <col min="2052" max="2052" width="17.5703125" style="386" customWidth="1"/>
    <col min="2053" max="2053" width="18.5703125" style="386" customWidth="1"/>
    <col min="2054" max="2054" width="21.5703125" style="386" customWidth="1"/>
    <col min="2055" max="2055" width="9.140625" style="386"/>
    <col min="2056" max="2062" width="0" style="386" hidden="1" customWidth="1"/>
    <col min="2063" max="2301" width="9.140625" style="386"/>
    <col min="2302" max="2302" width="7.85546875" style="386" customWidth="1"/>
    <col min="2303" max="2303" width="69.42578125" style="386" customWidth="1"/>
    <col min="2304" max="2304" width="10.28515625" style="386" customWidth="1"/>
    <col min="2305" max="2305" width="11.140625" style="386" customWidth="1"/>
    <col min="2306" max="2306" width="11.28515625" style="386" customWidth="1"/>
    <col min="2307" max="2307" width="12.7109375" style="386" customWidth="1"/>
    <col min="2308" max="2308" width="17.5703125" style="386" customWidth="1"/>
    <col min="2309" max="2309" width="18.5703125" style="386" customWidth="1"/>
    <col min="2310" max="2310" width="21.5703125" style="386" customWidth="1"/>
    <col min="2311" max="2311" width="9.140625" style="386"/>
    <col min="2312" max="2318" width="0" style="386" hidden="1" customWidth="1"/>
    <col min="2319" max="2557" width="9.140625" style="386"/>
    <col min="2558" max="2558" width="7.85546875" style="386" customWidth="1"/>
    <col min="2559" max="2559" width="69.42578125" style="386" customWidth="1"/>
    <col min="2560" max="2560" width="10.28515625" style="386" customWidth="1"/>
    <col min="2561" max="2561" width="11.140625" style="386" customWidth="1"/>
    <col min="2562" max="2562" width="11.28515625" style="386" customWidth="1"/>
    <col min="2563" max="2563" width="12.7109375" style="386" customWidth="1"/>
    <col min="2564" max="2564" width="17.5703125" style="386" customWidth="1"/>
    <col min="2565" max="2565" width="18.5703125" style="386" customWidth="1"/>
    <col min="2566" max="2566" width="21.5703125" style="386" customWidth="1"/>
    <col min="2567" max="2567" width="9.140625" style="386"/>
    <col min="2568" max="2574" width="0" style="386" hidden="1" customWidth="1"/>
    <col min="2575" max="2813" width="9.140625" style="386"/>
    <col min="2814" max="2814" width="7.85546875" style="386" customWidth="1"/>
    <col min="2815" max="2815" width="69.42578125" style="386" customWidth="1"/>
    <col min="2816" max="2816" width="10.28515625" style="386" customWidth="1"/>
    <col min="2817" max="2817" width="11.140625" style="386" customWidth="1"/>
    <col min="2818" max="2818" width="11.28515625" style="386" customWidth="1"/>
    <col min="2819" max="2819" width="12.7109375" style="386" customWidth="1"/>
    <col min="2820" max="2820" width="17.5703125" style="386" customWidth="1"/>
    <col min="2821" max="2821" width="18.5703125" style="386" customWidth="1"/>
    <col min="2822" max="2822" width="21.5703125" style="386" customWidth="1"/>
    <col min="2823" max="2823" width="9.140625" style="386"/>
    <col min="2824" max="2830" width="0" style="386" hidden="1" customWidth="1"/>
    <col min="2831" max="3069" width="9.140625" style="386"/>
    <col min="3070" max="3070" width="7.85546875" style="386" customWidth="1"/>
    <col min="3071" max="3071" width="69.42578125" style="386" customWidth="1"/>
    <col min="3072" max="3072" width="10.28515625" style="386" customWidth="1"/>
    <col min="3073" max="3073" width="11.140625" style="386" customWidth="1"/>
    <col min="3074" max="3074" width="11.28515625" style="386" customWidth="1"/>
    <col min="3075" max="3075" width="12.7109375" style="386" customWidth="1"/>
    <col min="3076" max="3076" width="17.5703125" style="386" customWidth="1"/>
    <col min="3077" max="3077" width="18.5703125" style="386" customWidth="1"/>
    <col min="3078" max="3078" width="21.5703125" style="386" customWidth="1"/>
    <col min="3079" max="3079" width="9.140625" style="386"/>
    <col min="3080" max="3086" width="0" style="386" hidden="1" customWidth="1"/>
    <col min="3087" max="3325" width="9.140625" style="386"/>
    <col min="3326" max="3326" width="7.85546875" style="386" customWidth="1"/>
    <col min="3327" max="3327" width="69.42578125" style="386" customWidth="1"/>
    <col min="3328" max="3328" width="10.28515625" style="386" customWidth="1"/>
    <col min="3329" max="3329" width="11.140625" style="386" customWidth="1"/>
    <col min="3330" max="3330" width="11.28515625" style="386" customWidth="1"/>
    <col min="3331" max="3331" width="12.7109375" style="386" customWidth="1"/>
    <col min="3332" max="3332" width="17.5703125" style="386" customWidth="1"/>
    <col min="3333" max="3333" width="18.5703125" style="386" customWidth="1"/>
    <col min="3334" max="3334" width="21.5703125" style="386" customWidth="1"/>
    <col min="3335" max="3335" width="9.140625" style="386"/>
    <col min="3336" max="3342" width="0" style="386" hidden="1" customWidth="1"/>
    <col min="3343" max="3581" width="9.140625" style="386"/>
    <col min="3582" max="3582" width="7.85546875" style="386" customWidth="1"/>
    <col min="3583" max="3583" width="69.42578125" style="386" customWidth="1"/>
    <col min="3584" max="3584" width="10.28515625" style="386" customWidth="1"/>
    <col min="3585" max="3585" width="11.140625" style="386" customWidth="1"/>
    <col min="3586" max="3586" width="11.28515625" style="386" customWidth="1"/>
    <col min="3587" max="3587" width="12.7109375" style="386" customWidth="1"/>
    <col min="3588" max="3588" width="17.5703125" style="386" customWidth="1"/>
    <col min="3589" max="3589" width="18.5703125" style="386" customWidth="1"/>
    <col min="3590" max="3590" width="21.5703125" style="386" customWidth="1"/>
    <col min="3591" max="3591" width="9.140625" style="386"/>
    <col min="3592" max="3598" width="0" style="386" hidden="1" customWidth="1"/>
    <col min="3599" max="3837" width="9.140625" style="386"/>
    <col min="3838" max="3838" width="7.85546875" style="386" customWidth="1"/>
    <col min="3839" max="3839" width="69.42578125" style="386" customWidth="1"/>
    <col min="3840" max="3840" width="10.28515625" style="386" customWidth="1"/>
    <col min="3841" max="3841" width="11.140625" style="386" customWidth="1"/>
    <col min="3842" max="3842" width="11.28515625" style="386" customWidth="1"/>
    <col min="3843" max="3843" width="12.7109375" style="386" customWidth="1"/>
    <col min="3844" max="3844" width="17.5703125" style="386" customWidth="1"/>
    <col min="3845" max="3845" width="18.5703125" style="386" customWidth="1"/>
    <col min="3846" max="3846" width="21.5703125" style="386" customWidth="1"/>
    <col min="3847" max="3847" width="9.140625" style="386"/>
    <col min="3848" max="3854" width="0" style="386" hidden="1" customWidth="1"/>
    <col min="3855" max="4093" width="9.140625" style="386"/>
    <col min="4094" max="4094" width="7.85546875" style="386" customWidth="1"/>
    <col min="4095" max="4095" width="69.42578125" style="386" customWidth="1"/>
    <col min="4096" max="4096" width="10.28515625" style="386" customWidth="1"/>
    <col min="4097" max="4097" width="11.140625" style="386" customWidth="1"/>
    <col min="4098" max="4098" width="11.28515625" style="386" customWidth="1"/>
    <col min="4099" max="4099" width="12.7109375" style="386" customWidth="1"/>
    <col min="4100" max="4100" width="17.5703125" style="386" customWidth="1"/>
    <col min="4101" max="4101" width="18.5703125" style="386" customWidth="1"/>
    <col min="4102" max="4102" width="21.5703125" style="386" customWidth="1"/>
    <col min="4103" max="4103" width="9.140625" style="386"/>
    <col min="4104" max="4110" width="0" style="386" hidden="1" customWidth="1"/>
    <col min="4111" max="4349" width="9.140625" style="386"/>
    <col min="4350" max="4350" width="7.85546875" style="386" customWidth="1"/>
    <col min="4351" max="4351" width="69.42578125" style="386" customWidth="1"/>
    <col min="4352" max="4352" width="10.28515625" style="386" customWidth="1"/>
    <col min="4353" max="4353" width="11.140625" style="386" customWidth="1"/>
    <col min="4354" max="4354" width="11.28515625" style="386" customWidth="1"/>
    <col min="4355" max="4355" width="12.7109375" style="386" customWidth="1"/>
    <col min="4356" max="4356" width="17.5703125" style="386" customWidth="1"/>
    <col min="4357" max="4357" width="18.5703125" style="386" customWidth="1"/>
    <col min="4358" max="4358" width="21.5703125" style="386" customWidth="1"/>
    <col min="4359" max="4359" width="9.140625" style="386"/>
    <col min="4360" max="4366" width="0" style="386" hidden="1" customWidth="1"/>
    <col min="4367" max="4605" width="9.140625" style="386"/>
    <col min="4606" max="4606" width="7.85546875" style="386" customWidth="1"/>
    <col min="4607" max="4607" width="69.42578125" style="386" customWidth="1"/>
    <col min="4608" max="4608" width="10.28515625" style="386" customWidth="1"/>
    <col min="4609" max="4609" width="11.140625" style="386" customWidth="1"/>
    <col min="4610" max="4610" width="11.28515625" style="386" customWidth="1"/>
    <col min="4611" max="4611" width="12.7109375" style="386" customWidth="1"/>
    <col min="4612" max="4612" width="17.5703125" style="386" customWidth="1"/>
    <col min="4613" max="4613" width="18.5703125" style="386" customWidth="1"/>
    <col min="4614" max="4614" width="21.5703125" style="386" customWidth="1"/>
    <col min="4615" max="4615" width="9.140625" style="386"/>
    <col min="4616" max="4622" width="0" style="386" hidden="1" customWidth="1"/>
    <col min="4623" max="4861" width="9.140625" style="386"/>
    <col min="4862" max="4862" width="7.85546875" style="386" customWidth="1"/>
    <col min="4863" max="4863" width="69.42578125" style="386" customWidth="1"/>
    <col min="4864" max="4864" width="10.28515625" style="386" customWidth="1"/>
    <col min="4865" max="4865" width="11.140625" style="386" customWidth="1"/>
    <col min="4866" max="4866" width="11.28515625" style="386" customWidth="1"/>
    <col min="4867" max="4867" width="12.7109375" style="386" customWidth="1"/>
    <col min="4868" max="4868" width="17.5703125" style="386" customWidth="1"/>
    <col min="4869" max="4869" width="18.5703125" style="386" customWidth="1"/>
    <col min="4870" max="4870" width="21.5703125" style="386" customWidth="1"/>
    <col min="4871" max="4871" width="9.140625" style="386"/>
    <col min="4872" max="4878" width="0" style="386" hidden="1" customWidth="1"/>
    <col min="4879" max="5117" width="9.140625" style="386"/>
    <col min="5118" max="5118" width="7.85546875" style="386" customWidth="1"/>
    <col min="5119" max="5119" width="69.42578125" style="386" customWidth="1"/>
    <col min="5120" max="5120" width="10.28515625" style="386" customWidth="1"/>
    <col min="5121" max="5121" width="11.140625" style="386" customWidth="1"/>
    <col min="5122" max="5122" width="11.28515625" style="386" customWidth="1"/>
    <col min="5123" max="5123" width="12.7109375" style="386" customWidth="1"/>
    <col min="5124" max="5124" width="17.5703125" style="386" customWidth="1"/>
    <col min="5125" max="5125" width="18.5703125" style="386" customWidth="1"/>
    <col min="5126" max="5126" width="21.5703125" style="386" customWidth="1"/>
    <col min="5127" max="5127" width="9.140625" style="386"/>
    <col min="5128" max="5134" width="0" style="386" hidden="1" customWidth="1"/>
    <col min="5135" max="5373" width="9.140625" style="386"/>
    <col min="5374" max="5374" width="7.85546875" style="386" customWidth="1"/>
    <col min="5375" max="5375" width="69.42578125" style="386" customWidth="1"/>
    <col min="5376" max="5376" width="10.28515625" style="386" customWidth="1"/>
    <col min="5377" max="5377" width="11.140625" style="386" customWidth="1"/>
    <col min="5378" max="5378" width="11.28515625" style="386" customWidth="1"/>
    <col min="5379" max="5379" width="12.7109375" style="386" customWidth="1"/>
    <col min="5380" max="5380" width="17.5703125" style="386" customWidth="1"/>
    <col min="5381" max="5381" width="18.5703125" style="386" customWidth="1"/>
    <col min="5382" max="5382" width="21.5703125" style="386" customWidth="1"/>
    <col min="5383" max="5383" width="9.140625" style="386"/>
    <col min="5384" max="5390" width="0" style="386" hidden="1" customWidth="1"/>
    <col min="5391" max="5629" width="9.140625" style="386"/>
    <col min="5630" max="5630" width="7.85546875" style="386" customWidth="1"/>
    <col min="5631" max="5631" width="69.42578125" style="386" customWidth="1"/>
    <col min="5632" max="5632" width="10.28515625" style="386" customWidth="1"/>
    <col min="5633" max="5633" width="11.140625" style="386" customWidth="1"/>
    <col min="5634" max="5634" width="11.28515625" style="386" customWidth="1"/>
    <col min="5635" max="5635" width="12.7109375" style="386" customWidth="1"/>
    <col min="5636" max="5636" width="17.5703125" style="386" customWidth="1"/>
    <col min="5637" max="5637" width="18.5703125" style="386" customWidth="1"/>
    <col min="5638" max="5638" width="21.5703125" style="386" customWidth="1"/>
    <col min="5639" max="5639" width="9.140625" style="386"/>
    <col min="5640" max="5646" width="0" style="386" hidden="1" customWidth="1"/>
    <col min="5647" max="5885" width="9.140625" style="386"/>
    <col min="5886" max="5886" width="7.85546875" style="386" customWidth="1"/>
    <col min="5887" max="5887" width="69.42578125" style="386" customWidth="1"/>
    <col min="5888" max="5888" width="10.28515625" style="386" customWidth="1"/>
    <col min="5889" max="5889" width="11.140625" style="386" customWidth="1"/>
    <col min="5890" max="5890" width="11.28515625" style="386" customWidth="1"/>
    <col min="5891" max="5891" width="12.7109375" style="386" customWidth="1"/>
    <col min="5892" max="5892" width="17.5703125" style="386" customWidth="1"/>
    <col min="5893" max="5893" width="18.5703125" style="386" customWidth="1"/>
    <col min="5894" max="5894" width="21.5703125" style="386" customWidth="1"/>
    <col min="5895" max="5895" width="9.140625" style="386"/>
    <col min="5896" max="5902" width="0" style="386" hidden="1" customWidth="1"/>
    <col min="5903" max="6141" width="9.140625" style="386"/>
    <col min="6142" max="6142" width="7.85546875" style="386" customWidth="1"/>
    <col min="6143" max="6143" width="69.42578125" style="386" customWidth="1"/>
    <col min="6144" max="6144" width="10.28515625" style="386" customWidth="1"/>
    <col min="6145" max="6145" width="11.140625" style="386" customWidth="1"/>
    <col min="6146" max="6146" width="11.28515625" style="386" customWidth="1"/>
    <col min="6147" max="6147" width="12.7109375" style="386" customWidth="1"/>
    <col min="6148" max="6148" width="17.5703125" style="386" customWidth="1"/>
    <col min="6149" max="6149" width="18.5703125" style="386" customWidth="1"/>
    <col min="6150" max="6150" width="21.5703125" style="386" customWidth="1"/>
    <col min="6151" max="6151" width="9.140625" style="386"/>
    <col min="6152" max="6158" width="0" style="386" hidden="1" customWidth="1"/>
    <col min="6159" max="6397" width="9.140625" style="386"/>
    <col min="6398" max="6398" width="7.85546875" style="386" customWidth="1"/>
    <col min="6399" max="6399" width="69.42578125" style="386" customWidth="1"/>
    <col min="6400" max="6400" width="10.28515625" style="386" customWidth="1"/>
    <col min="6401" max="6401" width="11.140625" style="386" customWidth="1"/>
    <col min="6402" max="6402" width="11.28515625" style="386" customWidth="1"/>
    <col min="6403" max="6403" width="12.7109375" style="386" customWidth="1"/>
    <col min="6404" max="6404" width="17.5703125" style="386" customWidth="1"/>
    <col min="6405" max="6405" width="18.5703125" style="386" customWidth="1"/>
    <col min="6406" max="6406" width="21.5703125" style="386" customWidth="1"/>
    <col min="6407" max="6407" width="9.140625" style="386"/>
    <col min="6408" max="6414" width="0" style="386" hidden="1" customWidth="1"/>
    <col min="6415" max="6653" width="9.140625" style="386"/>
    <col min="6654" max="6654" width="7.85546875" style="386" customWidth="1"/>
    <col min="6655" max="6655" width="69.42578125" style="386" customWidth="1"/>
    <col min="6656" max="6656" width="10.28515625" style="386" customWidth="1"/>
    <col min="6657" max="6657" width="11.140625" style="386" customWidth="1"/>
    <col min="6658" max="6658" width="11.28515625" style="386" customWidth="1"/>
    <col min="6659" max="6659" width="12.7109375" style="386" customWidth="1"/>
    <col min="6660" max="6660" width="17.5703125" style="386" customWidth="1"/>
    <col min="6661" max="6661" width="18.5703125" style="386" customWidth="1"/>
    <col min="6662" max="6662" width="21.5703125" style="386" customWidth="1"/>
    <col min="6663" max="6663" width="9.140625" style="386"/>
    <col min="6664" max="6670" width="0" style="386" hidden="1" customWidth="1"/>
    <col min="6671" max="6909" width="9.140625" style="386"/>
    <col min="6910" max="6910" width="7.85546875" style="386" customWidth="1"/>
    <col min="6911" max="6911" width="69.42578125" style="386" customWidth="1"/>
    <col min="6912" max="6912" width="10.28515625" style="386" customWidth="1"/>
    <col min="6913" max="6913" width="11.140625" style="386" customWidth="1"/>
    <col min="6914" max="6914" width="11.28515625" style="386" customWidth="1"/>
    <col min="6915" max="6915" width="12.7109375" style="386" customWidth="1"/>
    <col min="6916" max="6916" width="17.5703125" style="386" customWidth="1"/>
    <col min="6917" max="6917" width="18.5703125" style="386" customWidth="1"/>
    <col min="6918" max="6918" width="21.5703125" style="386" customWidth="1"/>
    <col min="6919" max="6919" width="9.140625" style="386"/>
    <col min="6920" max="6926" width="0" style="386" hidden="1" customWidth="1"/>
    <col min="6927" max="7165" width="9.140625" style="386"/>
    <col min="7166" max="7166" width="7.85546875" style="386" customWidth="1"/>
    <col min="7167" max="7167" width="69.42578125" style="386" customWidth="1"/>
    <col min="7168" max="7168" width="10.28515625" style="386" customWidth="1"/>
    <col min="7169" max="7169" width="11.140625" style="386" customWidth="1"/>
    <col min="7170" max="7170" width="11.28515625" style="386" customWidth="1"/>
    <col min="7171" max="7171" width="12.7109375" style="386" customWidth="1"/>
    <col min="7172" max="7172" width="17.5703125" style="386" customWidth="1"/>
    <col min="7173" max="7173" width="18.5703125" style="386" customWidth="1"/>
    <col min="7174" max="7174" width="21.5703125" style="386" customWidth="1"/>
    <col min="7175" max="7175" width="9.140625" style="386"/>
    <col min="7176" max="7182" width="0" style="386" hidden="1" customWidth="1"/>
    <col min="7183" max="7421" width="9.140625" style="386"/>
    <col min="7422" max="7422" width="7.85546875" style="386" customWidth="1"/>
    <col min="7423" max="7423" width="69.42578125" style="386" customWidth="1"/>
    <col min="7424" max="7424" width="10.28515625" style="386" customWidth="1"/>
    <col min="7425" max="7425" width="11.140625" style="386" customWidth="1"/>
    <col min="7426" max="7426" width="11.28515625" style="386" customWidth="1"/>
    <col min="7427" max="7427" width="12.7109375" style="386" customWidth="1"/>
    <col min="7428" max="7428" width="17.5703125" style="386" customWidth="1"/>
    <col min="7429" max="7429" width="18.5703125" style="386" customWidth="1"/>
    <col min="7430" max="7430" width="21.5703125" style="386" customWidth="1"/>
    <col min="7431" max="7431" width="9.140625" style="386"/>
    <col min="7432" max="7438" width="0" style="386" hidden="1" customWidth="1"/>
    <col min="7439" max="7677" width="9.140625" style="386"/>
    <col min="7678" max="7678" width="7.85546875" style="386" customWidth="1"/>
    <col min="7679" max="7679" width="69.42578125" style="386" customWidth="1"/>
    <col min="7680" max="7680" width="10.28515625" style="386" customWidth="1"/>
    <col min="7681" max="7681" width="11.140625" style="386" customWidth="1"/>
    <col min="7682" max="7682" width="11.28515625" style="386" customWidth="1"/>
    <col min="7683" max="7683" width="12.7109375" style="386" customWidth="1"/>
    <col min="7684" max="7684" width="17.5703125" style="386" customWidth="1"/>
    <col min="7685" max="7685" width="18.5703125" style="386" customWidth="1"/>
    <col min="7686" max="7686" width="21.5703125" style="386" customWidth="1"/>
    <col min="7687" max="7687" width="9.140625" style="386"/>
    <col min="7688" max="7694" width="0" style="386" hidden="1" customWidth="1"/>
    <col min="7695" max="7933" width="9.140625" style="386"/>
    <col min="7934" max="7934" width="7.85546875" style="386" customWidth="1"/>
    <col min="7935" max="7935" width="69.42578125" style="386" customWidth="1"/>
    <col min="7936" max="7936" width="10.28515625" style="386" customWidth="1"/>
    <col min="7937" max="7937" width="11.140625" style="386" customWidth="1"/>
    <col min="7938" max="7938" width="11.28515625" style="386" customWidth="1"/>
    <col min="7939" max="7939" width="12.7109375" style="386" customWidth="1"/>
    <col min="7940" max="7940" width="17.5703125" style="386" customWidth="1"/>
    <col min="7941" max="7941" width="18.5703125" style="386" customWidth="1"/>
    <col min="7942" max="7942" width="21.5703125" style="386" customWidth="1"/>
    <col min="7943" max="7943" width="9.140625" style="386"/>
    <col min="7944" max="7950" width="0" style="386" hidden="1" customWidth="1"/>
    <col min="7951" max="8189" width="9.140625" style="386"/>
    <col min="8190" max="8190" width="7.85546875" style="386" customWidth="1"/>
    <col min="8191" max="8191" width="69.42578125" style="386" customWidth="1"/>
    <col min="8192" max="8192" width="10.28515625" style="386" customWidth="1"/>
    <col min="8193" max="8193" width="11.140625" style="386" customWidth="1"/>
    <col min="8194" max="8194" width="11.28515625" style="386" customWidth="1"/>
    <col min="8195" max="8195" width="12.7109375" style="386" customWidth="1"/>
    <col min="8196" max="8196" width="17.5703125" style="386" customWidth="1"/>
    <col min="8197" max="8197" width="18.5703125" style="386" customWidth="1"/>
    <col min="8198" max="8198" width="21.5703125" style="386" customWidth="1"/>
    <col min="8199" max="8199" width="9.140625" style="386"/>
    <col min="8200" max="8206" width="0" style="386" hidden="1" customWidth="1"/>
    <col min="8207" max="8445" width="9.140625" style="386"/>
    <col min="8446" max="8446" width="7.85546875" style="386" customWidth="1"/>
    <col min="8447" max="8447" width="69.42578125" style="386" customWidth="1"/>
    <col min="8448" max="8448" width="10.28515625" style="386" customWidth="1"/>
    <col min="8449" max="8449" width="11.140625" style="386" customWidth="1"/>
    <col min="8450" max="8450" width="11.28515625" style="386" customWidth="1"/>
    <col min="8451" max="8451" width="12.7109375" style="386" customWidth="1"/>
    <col min="8452" max="8452" width="17.5703125" style="386" customWidth="1"/>
    <col min="8453" max="8453" width="18.5703125" style="386" customWidth="1"/>
    <col min="8454" max="8454" width="21.5703125" style="386" customWidth="1"/>
    <col min="8455" max="8455" width="9.140625" style="386"/>
    <col min="8456" max="8462" width="0" style="386" hidden="1" customWidth="1"/>
    <col min="8463" max="8701" width="9.140625" style="386"/>
    <col min="8702" max="8702" width="7.85546875" style="386" customWidth="1"/>
    <col min="8703" max="8703" width="69.42578125" style="386" customWidth="1"/>
    <col min="8704" max="8704" width="10.28515625" style="386" customWidth="1"/>
    <col min="8705" max="8705" width="11.140625" style="386" customWidth="1"/>
    <col min="8706" max="8706" width="11.28515625" style="386" customWidth="1"/>
    <col min="8707" max="8707" width="12.7109375" style="386" customWidth="1"/>
    <col min="8708" max="8708" width="17.5703125" style="386" customWidth="1"/>
    <col min="8709" max="8709" width="18.5703125" style="386" customWidth="1"/>
    <col min="8710" max="8710" width="21.5703125" style="386" customWidth="1"/>
    <col min="8711" max="8711" width="9.140625" style="386"/>
    <col min="8712" max="8718" width="0" style="386" hidden="1" customWidth="1"/>
    <col min="8719" max="8957" width="9.140625" style="386"/>
    <col min="8958" max="8958" width="7.85546875" style="386" customWidth="1"/>
    <col min="8959" max="8959" width="69.42578125" style="386" customWidth="1"/>
    <col min="8960" max="8960" width="10.28515625" style="386" customWidth="1"/>
    <col min="8961" max="8961" width="11.140625" style="386" customWidth="1"/>
    <col min="8962" max="8962" width="11.28515625" style="386" customWidth="1"/>
    <col min="8963" max="8963" width="12.7109375" style="386" customWidth="1"/>
    <col min="8964" max="8964" width="17.5703125" style="386" customWidth="1"/>
    <col min="8965" max="8965" width="18.5703125" style="386" customWidth="1"/>
    <col min="8966" max="8966" width="21.5703125" style="386" customWidth="1"/>
    <col min="8967" max="8967" width="9.140625" style="386"/>
    <col min="8968" max="8974" width="0" style="386" hidden="1" customWidth="1"/>
    <col min="8975" max="9213" width="9.140625" style="386"/>
    <col min="9214" max="9214" width="7.85546875" style="386" customWidth="1"/>
    <col min="9215" max="9215" width="69.42578125" style="386" customWidth="1"/>
    <col min="9216" max="9216" width="10.28515625" style="386" customWidth="1"/>
    <col min="9217" max="9217" width="11.140625" style="386" customWidth="1"/>
    <col min="9218" max="9218" width="11.28515625" style="386" customWidth="1"/>
    <col min="9219" max="9219" width="12.7109375" style="386" customWidth="1"/>
    <col min="9220" max="9220" width="17.5703125" style="386" customWidth="1"/>
    <col min="9221" max="9221" width="18.5703125" style="386" customWidth="1"/>
    <col min="9222" max="9222" width="21.5703125" style="386" customWidth="1"/>
    <col min="9223" max="9223" width="9.140625" style="386"/>
    <col min="9224" max="9230" width="0" style="386" hidden="1" customWidth="1"/>
    <col min="9231" max="9469" width="9.140625" style="386"/>
    <col min="9470" max="9470" width="7.85546875" style="386" customWidth="1"/>
    <col min="9471" max="9471" width="69.42578125" style="386" customWidth="1"/>
    <col min="9472" max="9472" width="10.28515625" style="386" customWidth="1"/>
    <col min="9473" max="9473" width="11.140625" style="386" customWidth="1"/>
    <col min="9474" max="9474" width="11.28515625" style="386" customWidth="1"/>
    <col min="9475" max="9475" width="12.7109375" style="386" customWidth="1"/>
    <col min="9476" max="9476" width="17.5703125" style="386" customWidth="1"/>
    <col min="9477" max="9477" width="18.5703125" style="386" customWidth="1"/>
    <col min="9478" max="9478" width="21.5703125" style="386" customWidth="1"/>
    <col min="9479" max="9479" width="9.140625" style="386"/>
    <col min="9480" max="9486" width="0" style="386" hidden="1" customWidth="1"/>
    <col min="9487" max="9725" width="9.140625" style="386"/>
    <col min="9726" max="9726" width="7.85546875" style="386" customWidth="1"/>
    <col min="9727" max="9727" width="69.42578125" style="386" customWidth="1"/>
    <col min="9728" max="9728" width="10.28515625" style="386" customWidth="1"/>
    <col min="9729" max="9729" width="11.140625" style="386" customWidth="1"/>
    <col min="9730" max="9730" width="11.28515625" style="386" customWidth="1"/>
    <col min="9731" max="9731" width="12.7109375" style="386" customWidth="1"/>
    <col min="9732" max="9732" width="17.5703125" style="386" customWidth="1"/>
    <col min="9733" max="9733" width="18.5703125" style="386" customWidth="1"/>
    <col min="9734" max="9734" width="21.5703125" style="386" customWidth="1"/>
    <col min="9735" max="9735" width="9.140625" style="386"/>
    <col min="9736" max="9742" width="0" style="386" hidden="1" customWidth="1"/>
    <col min="9743" max="9981" width="9.140625" style="386"/>
    <col min="9982" max="9982" width="7.85546875" style="386" customWidth="1"/>
    <col min="9983" max="9983" width="69.42578125" style="386" customWidth="1"/>
    <col min="9984" max="9984" width="10.28515625" style="386" customWidth="1"/>
    <col min="9985" max="9985" width="11.140625" style="386" customWidth="1"/>
    <col min="9986" max="9986" width="11.28515625" style="386" customWidth="1"/>
    <col min="9987" max="9987" width="12.7109375" style="386" customWidth="1"/>
    <col min="9988" max="9988" width="17.5703125" style="386" customWidth="1"/>
    <col min="9989" max="9989" width="18.5703125" style="386" customWidth="1"/>
    <col min="9990" max="9990" width="21.5703125" style="386" customWidth="1"/>
    <col min="9991" max="9991" width="9.140625" style="386"/>
    <col min="9992" max="9998" width="0" style="386" hidden="1" customWidth="1"/>
    <col min="9999" max="10237" width="9.140625" style="386"/>
    <col min="10238" max="10238" width="7.85546875" style="386" customWidth="1"/>
    <col min="10239" max="10239" width="69.42578125" style="386" customWidth="1"/>
    <col min="10240" max="10240" width="10.28515625" style="386" customWidth="1"/>
    <col min="10241" max="10241" width="11.140625" style="386" customWidth="1"/>
    <col min="10242" max="10242" width="11.28515625" style="386" customWidth="1"/>
    <col min="10243" max="10243" width="12.7109375" style="386" customWidth="1"/>
    <col min="10244" max="10244" width="17.5703125" style="386" customWidth="1"/>
    <col min="10245" max="10245" width="18.5703125" style="386" customWidth="1"/>
    <col min="10246" max="10246" width="21.5703125" style="386" customWidth="1"/>
    <col min="10247" max="10247" width="9.140625" style="386"/>
    <col min="10248" max="10254" width="0" style="386" hidden="1" customWidth="1"/>
    <col min="10255" max="10493" width="9.140625" style="386"/>
    <col min="10494" max="10494" width="7.85546875" style="386" customWidth="1"/>
    <col min="10495" max="10495" width="69.42578125" style="386" customWidth="1"/>
    <col min="10496" max="10496" width="10.28515625" style="386" customWidth="1"/>
    <col min="10497" max="10497" width="11.140625" style="386" customWidth="1"/>
    <col min="10498" max="10498" width="11.28515625" style="386" customWidth="1"/>
    <col min="10499" max="10499" width="12.7109375" style="386" customWidth="1"/>
    <col min="10500" max="10500" width="17.5703125" style="386" customWidth="1"/>
    <col min="10501" max="10501" width="18.5703125" style="386" customWidth="1"/>
    <col min="10502" max="10502" width="21.5703125" style="386" customWidth="1"/>
    <col min="10503" max="10503" width="9.140625" style="386"/>
    <col min="10504" max="10510" width="0" style="386" hidden="1" customWidth="1"/>
    <col min="10511" max="10749" width="9.140625" style="386"/>
    <col min="10750" max="10750" width="7.85546875" style="386" customWidth="1"/>
    <col min="10751" max="10751" width="69.42578125" style="386" customWidth="1"/>
    <col min="10752" max="10752" width="10.28515625" style="386" customWidth="1"/>
    <col min="10753" max="10753" width="11.140625" style="386" customWidth="1"/>
    <col min="10754" max="10754" width="11.28515625" style="386" customWidth="1"/>
    <col min="10755" max="10755" width="12.7109375" style="386" customWidth="1"/>
    <col min="10756" max="10756" width="17.5703125" style="386" customWidth="1"/>
    <col min="10757" max="10757" width="18.5703125" style="386" customWidth="1"/>
    <col min="10758" max="10758" width="21.5703125" style="386" customWidth="1"/>
    <col min="10759" max="10759" width="9.140625" style="386"/>
    <col min="10760" max="10766" width="0" style="386" hidden="1" customWidth="1"/>
    <col min="10767" max="11005" width="9.140625" style="386"/>
    <col min="11006" max="11006" width="7.85546875" style="386" customWidth="1"/>
    <col min="11007" max="11007" width="69.42578125" style="386" customWidth="1"/>
    <col min="11008" max="11008" width="10.28515625" style="386" customWidth="1"/>
    <col min="11009" max="11009" width="11.140625" style="386" customWidth="1"/>
    <col min="11010" max="11010" width="11.28515625" style="386" customWidth="1"/>
    <col min="11011" max="11011" width="12.7109375" style="386" customWidth="1"/>
    <col min="11012" max="11012" width="17.5703125" style="386" customWidth="1"/>
    <col min="11013" max="11013" width="18.5703125" style="386" customWidth="1"/>
    <col min="11014" max="11014" width="21.5703125" style="386" customWidth="1"/>
    <col min="11015" max="11015" width="9.140625" style="386"/>
    <col min="11016" max="11022" width="0" style="386" hidden="1" customWidth="1"/>
    <col min="11023" max="11261" width="9.140625" style="386"/>
    <col min="11262" max="11262" width="7.85546875" style="386" customWidth="1"/>
    <col min="11263" max="11263" width="69.42578125" style="386" customWidth="1"/>
    <col min="11264" max="11264" width="10.28515625" style="386" customWidth="1"/>
    <col min="11265" max="11265" width="11.140625" style="386" customWidth="1"/>
    <col min="11266" max="11266" width="11.28515625" style="386" customWidth="1"/>
    <col min="11267" max="11267" width="12.7109375" style="386" customWidth="1"/>
    <col min="11268" max="11268" width="17.5703125" style="386" customWidth="1"/>
    <col min="11269" max="11269" width="18.5703125" style="386" customWidth="1"/>
    <col min="11270" max="11270" width="21.5703125" style="386" customWidth="1"/>
    <col min="11271" max="11271" width="9.140625" style="386"/>
    <col min="11272" max="11278" width="0" style="386" hidden="1" customWidth="1"/>
    <col min="11279" max="11517" width="9.140625" style="386"/>
    <col min="11518" max="11518" width="7.85546875" style="386" customWidth="1"/>
    <col min="11519" max="11519" width="69.42578125" style="386" customWidth="1"/>
    <col min="11520" max="11520" width="10.28515625" style="386" customWidth="1"/>
    <col min="11521" max="11521" width="11.140625" style="386" customWidth="1"/>
    <col min="11522" max="11522" width="11.28515625" style="386" customWidth="1"/>
    <col min="11523" max="11523" width="12.7109375" style="386" customWidth="1"/>
    <col min="11524" max="11524" width="17.5703125" style="386" customWidth="1"/>
    <col min="11525" max="11525" width="18.5703125" style="386" customWidth="1"/>
    <col min="11526" max="11526" width="21.5703125" style="386" customWidth="1"/>
    <col min="11527" max="11527" width="9.140625" style="386"/>
    <col min="11528" max="11534" width="0" style="386" hidden="1" customWidth="1"/>
    <col min="11535" max="11773" width="9.140625" style="386"/>
    <col min="11774" max="11774" width="7.85546875" style="386" customWidth="1"/>
    <col min="11775" max="11775" width="69.42578125" style="386" customWidth="1"/>
    <col min="11776" max="11776" width="10.28515625" style="386" customWidth="1"/>
    <col min="11777" max="11777" width="11.140625" style="386" customWidth="1"/>
    <col min="11778" max="11778" width="11.28515625" style="386" customWidth="1"/>
    <col min="11779" max="11779" width="12.7109375" style="386" customWidth="1"/>
    <col min="11780" max="11780" width="17.5703125" style="386" customWidth="1"/>
    <col min="11781" max="11781" width="18.5703125" style="386" customWidth="1"/>
    <col min="11782" max="11782" width="21.5703125" style="386" customWidth="1"/>
    <col min="11783" max="11783" width="9.140625" style="386"/>
    <col min="11784" max="11790" width="0" style="386" hidden="1" customWidth="1"/>
    <col min="11791" max="12029" width="9.140625" style="386"/>
    <col min="12030" max="12030" width="7.85546875" style="386" customWidth="1"/>
    <col min="12031" max="12031" width="69.42578125" style="386" customWidth="1"/>
    <col min="12032" max="12032" width="10.28515625" style="386" customWidth="1"/>
    <col min="12033" max="12033" width="11.140625" style="386" customWidth="1"/>
    <col min="12034" max="12034" width="11.28515625" style="386" customWidth="1"/>
    <col min="12035" max="12035" width="12.7109375" style="386" customWidth="1"/>
    <col min="12036" max="12036" width="17.5703125" style="386" customWidth="1"/>
    <col min="12037" max="12037" width="18.5703125" style="386" customWidth="1"/>
    <col min="12038" max="12038" width="21.5703125" style="386" customWidth="1"/>
    <col min="12039" max="12039" width="9.140625" style="386"/>
    <col min="12040" max="12046" width="0" style="386" hidden="1" customWidth="1"/>
    <col min="12047" max="12285" width="9.140625" style="386"/>
    <col min="12286" max="12286" width="7.85546875" style="386" customWidth="1"/>
    <col min="12287" max="12287" width="69.42578125" style="386" customWidth="1"/>
    <col min="12288" max="12288" width="10.28515625" style="386" customWidth="1"/>
    <col min="12289" max="12289" width="11.140625" style="386" customWidth="1"/>
    <col min="12290" max="12290" width="11.28515625" style="386" customWidth="1"/>
    <col min="12291" max="12291" width="12.7109375" style="386" customWidth="1"/>
    <col min="12292" max="12292" width="17.5703125" style="386" customWidth="1"/>
    <col min="12293" max="12293" width="18.5703125" style="386" customWidth="1"/>
    <col min="12294" max="12294" width="21.5703125" style="386" customWidth="1"/>
    <col min="12295" max="12295" width="9.140625" style="386"/>
    <col min="12296" max="12302" width="0" style="386" hidden="1" customWidth="1"/>
    <col min="12303" max="12541" width="9.140625" style="386"/>
    <col min="12542" max="12542" width="7.85546875" style="386" customWidth="1"/>
    <col min="12543" max="12543" width="69.42578125" style="386" customWidth="1"/>
    <col min="12544" max="12544" width="10.28515625" style="386" customWidth="1"/>
    <col min="12545" max="12545" width="11.140625" style="386" customWidth="1"/>
    <col min="12546" max="12546" width="11.28515625" style="386" customWidth="1"/>
    <col min="12547" max="12547" width="12.7109375" style="386" customWidth="1"/>
    <col min="12548" max="12548" width="17.5703125" style="386" customWidth="1"/>
    <col min="12549" max="12549" width="18.5703125" style="386" customWidth="1"/>
    <col min="12550" max="12550" width="21.5703125" style="386" customWidth="1"/>
    <col min="12551" max="12551" width="9.140625" style="386"/>
    <col min="12552" max="12558" width="0" style="386" hidden="1" customWidth="1"/>
    <col min="12559" max="12797" width="9.140625" style="386"/>
    <col min="12798" max="12798" width="7.85546875" style="386" customWidth="1"/>
    <col min="12799" max="12799" width="69.42578125" style="386" customWidth="1"/>
    <col min="12800" max="12800" width="10.28515625" style="386" customWidth="1"/>
    <col min="12801" max="12801" width="11.140625" style="386" customWidth="1"/>
    <col min="12802" max="12802" width="11.28515625" style="386" customWidth="1"/>
    <col min="12803" max="12803" width="12.7109375" style="386" customWidth="1"/>
    <col min="12804" max="12804" width="17.5703125" style="386" customWidth="1"/>
    <col min="12805" max="12805" width="18.5703125" style="386" customWidth="1"/>
    <col min="12806" max="12806" width="21.5703125" style="386" customWidth="1"/>
    <col min="12807" max="12807" width="9.140625" style="386"/>
    <col min="12808" max="12814" width="0" style="386" hidden="1" customWidth="1"/>
    <col min="12815" max="13053" width="9.140625" style="386"/>
    <col min="13054" max="13054" width="7.85546875" style="386" customWidth="1"/>
    <col min="13055" max="13055" width="69.42578125" style="386" customWidth="1"/>
    <col min="13056" max="13056" width="10.28515625" style="386" customWidth="1"/>
    <col min="13057" max="13057" width="11.140625" style="386" customWidth="1"/>
    <col min="13058" max="13058" width="11.28515625" style="386" customWidth="1"/>
    <col min="13059" max="13059" width="12.7109375" style="386" customWidth="1"/>
    <col min="13060" max="13060" width="17.5703125" style="386" customWidth="1"/>
    <col min="13061" max="13061" width="18.5703125" style="386" customWidth="1"/>
    <col min="13062" max="13062" width="21.5703125" style="386" customWidth="1"/>
    <col min="13063" max="13063" width="9.140625" style="386"/>
    <col min="13064" max="13070" width="0" style="386" hidden="1" customWidth="1"/>
    <col min="13071" max="13309" width="9.140625" style="386"/>
    <col min="13310" max="13310" width="7.85546875" style="386" customWidth="1"/>
    <col min="13311" max="13311" width="69.42578125" style="386" customWidth="1"/>
    <col min="13312" max="13312" width="10.28515625" style="386" customWidth="1"/>
    <col min="13313" max="13313" width="11.140625" style="386" customWidth="1"/>
    <col min="13314" max="13314" width="11.28515625" style="386" customWidth="1"/>
    <col min="13315" max="13315" width="12.7109375" style="386" customWidth="1"/>
    <col min="13316" max="13316" width="17.5703125" style="386" customWidth="1"/>
    <col min="13317" max="13317" width="18.5703125" style="386" customWidth="1"/>
    <col min="13318" max="13318" width="21.5703125" style="386" customWidth="1"/>
    <col min="13319" max="13319" width="9.140625" style="386"/>
    <col min="13320" max="13326" width="0" style="386" hidden="1" customWidth="1"/>
    <col min="13327" max="13565" width="9.140625" style="386"/>
    <col min="13566" max="13566" width="7.85546875" style="386" customWidth="1"/>
    <col min="13567" max="13567" width="69.42578125" style="386" customWidth="1"/>
    <col min="13568" max="13568" width="10.28515625" style="386" customWidth="1"/>
    <col min="13569" max="13569" width="11.140625" style="386" customWidth="1"/>
    <col min="13570" max="13570" width="11.28515625" style="386" customWidth="1"/>
    <col min="13571" max="13571" width="12.7109375" style="386" customWidth="1"/>
    <col min="13572" max="13572" width="17.5703125" style="386" customWidth="1"/>
    <col min="13573" max="13573" width="18.5703125" style="386" customWidth="1"/>
    <col min="13574" max="13574" width="21.5703125" style="386" customWidth="1"/>
    <col min="13575" max="13575" width="9.140625" style="386"/>
    <col min="13576" max="13582" width="0" style="386" hidden="1" customWidth="1"/>
    <col min="13583" max="13821" width="9.140625" style="386"/>
    <col min="13822" max="13822" width="7.85546875" style="386" customWidth="1"/>
    <col min="13823" max="13823" width="69.42578125" style="386" customWidth="1"/>
    <col min="13824" max="13824" width="10.28515625" style="386" customWidth="1"/>
    <col min="13825" max="13825" width="11.140625" style="386" customWidth="1"/>
    <col min="13826" max="13826" width="11.28515625" style="386" customWidth="1"/>
    <col min="13827" max="13827" width="12.7109375" style="386" customWidth="1"/>
    <col min="13828" max="13828" width="17.5703125" style="386" customWidth="1"/>
    <col min="13829" max="13829" width="18.5703125" style="386" customWidth="1"/>
    <col min="13830" max="13830" width="21.5703125" style="386" customWidth="1"/>
    <col min="13831" max="13831" width="9.140625" style="386"/>
    <col min="13832" max="13838" width="0" style="386" hidden="1" customWidth="1"/>
    <col min="13839" max="14077" width="9.140625" style="386"/>
    <col min="14078" max="14078" width="7.85546875" style="386" customWidth="1"/>
    <col min="14079" max="14079" width="69.42578125" style="386" customWidth="1"/>
    <col min="14080" max="14080" width="10.28515625" style="386" customWidth="1"/>
    <col min="14081" max="14081" width="11.140625" style="386" customWidth="1"/>
    <col min="14082" max="14082" width="11.28515625" style="386" customWidth="1"/>
    <col min="14083" max="14083" width="12.7109375" style="386" customWidth="1"/>
    <col min="14084" max="14084" width="17.5703125" style="386" customWidth="1"/>
    <col min="14085" max="14085" width="18.5703125" style="386" customWidth="1"/>
    <col min="14086" max="14086" width="21.5703125" style="386" customWidth="1"/>
    <col min="14087" max="14087" width="9.140625" style="386"/>
    <col min="14088" max="14094" width="0" style="386" hidden="1" customWidth="1"/>
    <col min="14095" max="14333" width="9.140625" style="386"/>
    <col min="14334" max="14334" width="7.85546875" style="386" customWidth="1"/>
    <col min="14335" max="14335" width="69.42578125" style="386" customWidth="1"/>
    <col min="14336" max="14336" width="10.28515625" style="386" customWidth="1"/>
    <col min="14337" max="14337" width="11.140625" style="386" customWidth="1"/>
    <col min="14338" max="14338" width="11.28515625" style="386" customWidth="1"/>
    <col min="14339" max="14339" width="12.7109375" style="386" customWidth="1"/>
    <col min="14340" max="14340" width="17.5703125" style="386" customWidth="1"/>
    <col min="14341" max="14341" width="18.5703125" style="386" customWidth="1"/>
    <col min="14342" max="14342" width="21.5703125" style="386" customWidth="1"/>
    <col min="14343" max="14343" width="9.140625" style="386"/>
    <col min="14344" max="14350" width="0" style="386" hidden="1" customWidth="1"/>
    <col min="14351" max="14589" width="9.140625" style="386"/>
    <col min="14590" max="14590" width="7.85546875" style="386" customWidth="1"/>
    <col min="14591" max="14591" width="69.42578125" style="386" customWidth="1"/>
    <col min="14592" max="14592" width="10.28515625" style="386" customWidth="1"/>
    <col min="14593" max="14593" width="11.140625" style="386" customWidth="1"/>
    <col min="14594" max="14594" width="11.28515625" style="386" customWidth="1"/>
    <col min="14595" max="14595" width="12.7109375" style="386" customWidth="1"/>
    <col min="14596" max="14596" width="17.5703125" style="386" customWidth="1"/>
    <col min="14597" max="14597" width="18.5703125" style="386" customWidth="1"/>
    <col min="14598" max="14598" width="21.5703125" style="386" customWidth="1"/>
    <col min="14599" max="14599" width="9.140625" style="386"/>
    <col min="14600" max="14606" width="0" style="386" hidden="1" customWidth="1"/>
    <col min="14607" max="14845" width="9.140625" style="386"/>
    <col min="14846" max="14846" width="7.85546875" style="386" customWidth="1"/>
    <col min="14847" max="14847" width="69.42578125" style="386" customWidth="1"/>
    <col min="14848" max="14848" width="10.28515625" style="386" customWidth="1"/>
    <col min="14849" max="14849" width="11.140625" style="386" customWidth="1"/>
    <col min="14850" max="14850" width="11.28515625" style="386" customWidth="1"/>
    <col min="14851" max="14851" width="12.7109375" style="386" customWidth="1"/>
    <col min="14852" max="14852" width="17.5703125" style="386" customWidth="1"/>
    <col min="14853" max="14853" width="18.5703125" style="386" customWidth="1"/>
    <col min="14854" max="14854" width="21.5703125" style="386" customWidth="1"/>
    <col min="14855" max="14855" width="9.140625" style="386"/>
    <col min="14856" max="14862" width="0" style="386" hidden="1" customWidth="1"/>
    <col min="14863" max="15101" width="9.140625" style="386"/>
    <col min="15102" max="15102" width="7.85546875" style="386" customWidth="1"/>
    <col min="15103" max="15103" width="69.42578125" style="386" customWidth="1"/>
    <col min="15104" max="15104" width="10.28515625" style="386" customWidth="1"/>
    <col min="15105" max="15105" width="11.140625" style="386" customWidth="1"/>
    <col min="15106" max="15106" width="11.28515625" style="386" customWidth="1"/>
    <col min="15107" max="15107" width="12.7109375" style="386" customWidth="1"/>
    <col min="15108" max="15108" width="17.5703125" style="386" customWidth="1"/>
    <col min="15109" max="15109" width="18.5703125" style="386" customWidth="1"/>
    <col min="15110" max="15110" width="21.5703125" style="386" customWidth="1"/>
    <col min="15111" max="15111" width="9.140625" style="386"/>
    <col min="15112" max="15118" width="0" style="386" hidden="1" customWidth="1"/>
    <col min="15119" max="15357" width="9.140625" style="386"/>
    <col min="15358" max="15358" width="7.85546875" style="386" customWidth="1"/>
    <col min="15359" max="15359" width="69.42578125" style="386" customWidth="1"/>
    <col min="15360" max="15360" width="10.28515625" style="386" customWidth="1"/>
    <col min="15361" max="15361" width="11.140625" style="386" customWidth="1"/>
    <col min="15362" max="15362" width="11.28515625" style="386" customWidth="1"/>
    <col min="15363" max="15363" width="12.7109375" style="386" customWidth="1"/>
    <col min="15364" max="15364" width="17.5703125" style="386" customWidth="1"/>
    <col min="15365" max="15365" width="18.5703125" style="386" customWidth="1"/>
    <col min="15366" max="15366" width="21.5703125" style="386" customWidth="1"/>
    <col min="15367" max="15367" width="9.140625" style="386"/>
    <col min="15368" max="15374" width="0" style="386" hidden="1" customWidth="1"/>
    <col min="15375" max="15613" width="9.140625" style="386"/>
    <col min="15614" max="15614" width="7.85546875" style="386" customWidth="1"/>
    <col min="15615" max="15615" width="69.42578125" style="386" customWidth="1"/>
    <col min="15616" max="15616" width="10.28515625" style="386" customWidth="1"/>
    <col min="15617" max="15617" width="11.140625" style="386" customWidth="1"/>
    <col min="15618" max="15618" width="11.28515625" style="386" customWidth="1"/>
    <col min="15619" max="15619" width="12.7109375" style="386" customWidth="1"/>
    <col min="15620" max="15620" width="17.5703125" style="386" customWidth="1"/>
    <col min="15621" max="15621" width="18.5703125" style="386" customWidth="1"/>
    <col min="15622" max="15622" width="21.5703125" style="386" customWidth="1"/>
    <col min="15623" max="15623" width="9.140625" style="386"/>
    <col min="15624" max="15630" width="0" style="386" hidden="1" customWidth="1"/>
    <col min="15631" max="15869" width="9.140625" style="386"/>
    <col min="15870" max="15870" width="7.85546875" style="386" customWidth="1"/>
    <col min="15871" max="15871" width="69.42578125" style="386" customWidth="1"/>
    <col min="15872" max="15872" width="10.28515625" style="386" customWidth="1"/>
    <col min="15873" max="15873" width="11.140625" style="386" customWidth="1"/>
    <col min="15874" max="15874" width="11.28515625" style="386" customWidth="1"/>
    <col min="15875" max="15875" width="12.7109375" style="386" customWidth="1"/>
    <col min="15876" max="15876" width="17.5703125" style="386" customWidth="1"/>
    <col min="15877" max="15877" width="18.5703125" style="386" customWidth="1"/>
    <col min="15878" max="15878" width="21.5703125" style="386" customWidth="1"/>
    <col min="15879" max="15879" width="9.140625" style="386"/>
    <col min="15880" max="15886" width="0" style="386" hidden="1" customWidth="1"/>
    <col min="15887" max="16125" width="9.140625" style="386"/>
    <col min="16126" max="16126" width="7.85546875" style="386" customWidth="1"/>
    <col min="16127" max="16127" width="69.42578125" style="386" customWidth="1"/>
    <col min="16128" max="16128" width="10.28515625" style="386" customWidth="1"/>
    <col min="16129" max="16129" width="11.140625" style="386" customWidth="1"/>
    <col min="16130" max="16130" width="11.28515625" style="386" customWidth="1"/>
    <col min="16131" max="16131" width="12.7109375" style="386" customWidth="1"/>
    <col min="16132" max="16132" width="17.5703125" style="386" customWidth="1"/>
    <col min="16133" max="16133" width="18.5703125" style="386" customWidth="1"/>
    <col min="16134" max="16134" width="21.5703125" style="386" customWidth="1"/>
    <col min="16135" max="16135" width="9.140625" style="386"/>
    <col min="16136" max="16142" width="0" style="386" hidden="1" customWidth="1"/>
    <col min="16143" max="16384" width="9.140625" style="386"/>
  </cols>
  <sheetData>
    <row r="1" spans="1:7" s="481" customFormat="1" ht="17.25" customHeight="1">
      <c r="A1" s="766"/>
      <c r="B1" s="766"/>
      <c r="C1" s="767"/>
      <c r="D1" s="767"/>
      <c r="E1" s="480"/>
      <c r="F1" s="480"/>
      <c r="G1" s="480"/>
    </row>
    <row r="2" spans="1:7">
      <c r="A2" s="482"/>
      <c r="B2" s="482"/>
      <c r="C2" s="483"/>
      <c r="D2" s="484"/>
      <c r="E2" s="485"/>
      <c r="F2" s="485"/>
      <c r="G2" s="485"/>
    </row>
    <row r="3" spans="1:7" ht="39.75" customHeight="1">
      <c r="A3" s="773" t="s">
        <v>1042</v>
      </c>
      <c r="B3" s="774"/>
      <c r="C3" s="774"/>
      <c r="D3" s="774"/>
      <c r="E3" s="774"/>
      <c r="F3" s="774"/>
      <c r="G3" s="774"/>
    </row>
    <row r="4" spans="1:7" ht="16.5" thickBot="1">
      <c r="A4" s="764"/>
      <c r="B4" s="765"/>
      <c r="C4" s="765"/>
      <c r="D4" s="765"/>
      <c r="E4" s="765"/>
      <c r="F4" s="765"/>
      <c r="G4" s="386"/>
    </row>
    <row r="5" spans="1:7" ht="26.25" customHeight="1" thickBot="1">
      <c r="A5" s="486"/>
      <c r="B5" s="770" t="s">
        <v>1471</v>
      </c>
      <c r="C5" s="770"/>
      <c r="D5" s="770"/>
      <c r="E5" s="770"/>
      <c r="F5" s="770"/>
      <c r="G5" s="770"/>
    </row>
    <row r="6" spans="1:7" ht="47.25">
      <c r="A6" s="487" t="s">
        <v>920</v>
      </c>
      <c r="B6" s="488" t="s">
        <v>197</v>
      </c>
      <c r="C6" s="489" t="s">
        <v>921</v>
      </c>
      <c r="D6" s="490" t="s">
        <v>1521</v>
      </c>
      <c r="E6" s="490" t="s">
        <v>1474</v>
      </c>
      <c r="F6" s="490" t="s">
        <v>1473</v>
      </c>
      <c r="G6" s="490" t="s">
        <v>1475</v>
      </c>
    </row>
    <row r="7" spans="1:7">
      <c r="A7" s="47">
        <v>16</v>
      </c>
      <c r="B7" s="120" t="s">
        <v>1064</v>
      </c>
      <c r="C7" s="47" t="s">
        <v>1472</v>
      </c>
      <c r="D7" s="47">
        <v>200</v>
      </c>
      <c r="E7" s="419">
        <f>'MO SOB DEMANDA'!F122</f>
        <v>98.79</v>
      </c>
      <c r="F7" s="419">
        <f>D7*E7</f>
        <v>19758</v>
      </c>
      <c r="G7" s="551">
        <f>ROUND(F7*12,2)</f>
        <v>237096</v>
      </c>
    </row>
    <row r="8" spans="1:7">
      <c r="A8" s="47">
        <v>17</v>
      </c>
      <c r="B8" s="120" t="s">
        <v>1065</v>
      </c>
      <c r="C8" s="47" t="s">
        <v>1472</v>
      </c>
      <c r="D8" s="47">
        <v>16</v>
      </c>
      <c r="E8" s="419">
        <f>'MO SOB DEMANDA'!F123</f>
        <v>127.32</v>
      </c>
      <c r="F8" s="419">
        <f>D8*E8</f>
        <v>2037.12</v>
      </c>
      <c r="G8" s="551">
        <f>ROUND(F8*12,2)</f>
        <v>24445.439999999999</v>
      </c>
    </row>
    <row r="9" spans="1:7" ht="30" customHeight="1">
      <c r="A9" s="199"/>
      <c r="B9" s="255"/>
      <c r="C9" s="255"/>
      <c r="D9" s="255"/>
      <c r="E9" s="255"/>
      <c r="F9" s="255"/>
      <c r="G9" s="255"/>
    </row>
    <row r="10" spans="1:7" ht="26.25" customHeight="1">
      <c r="A10" s="491">
        <v>18</v>
      </c>
      <c r="B10" s="505" t="s">
        <v>1039</v>
      </c>
      <c r="C10" s="511"/>
      <c r="D10" s="511"/>
      <c r="E10" s="505"/>
      <c r="F10" s="505"/>
      <c r="G10" s="385"/>
    </row>
    <row r="11" spans="1:7" ht="47.25">
      <c r="A11" s="492" t="s">
        <v>920</v>
      </c>
      <c r="B11" s="492" t="s">
        <v>197</v>
      </c>
      <c r="C11" s="493" t="s">
        <v>1522</v>
      </c>
      <c r="D11" s="493" t="s">
        <v>79</v>
      </c>
      <c r="E11" s="493" t="s">
        <v>1474</v>
      </c>
      <c r="F11" s="493" t="s">
        <v>1523</v>
      </c>
      <c r="G11" s="509"/>
    </row>
    <row r="12" spans="1:7" s="435" customFormat="1">
      <c r="A12" s="494" t="str">
        <f>'Materiais de reposição'!A4</f>
        <v>18.1</v>
      </c>
      <c r="B12" s="433" t="str">
        <f>'Materiais de reposição'!C4</f>
        <v>Cuba de sobrepor oval branca DECA L 65</v>
      </c>
      <c r="C12" s="23">
        <f>'Materiais de reposição'!D4</f>
        <v>1</v>
      </c>
      <c r="D12" s="23" t="str">
        <f>'Materiais de reposição'!E4</f>
        <v>unid</v>
      </c>
      <c r="E12" s="495">
        <f>'Materiais de reposição'!F4</f>
        <v>170.5</v>
      </c>
      <c r="F12" s="495">
        <f>'Materiais de reposição'!G4</f>
        <v>170.5</v>
      </c>
      <c r="G12" s="65"/>
    </row>
    <row r="13" spans="1:7" s="435" customFormat="1">
      <c r="A13" s="494" t="str">
        <f>'Materiais de reposição'!A5</f>
        <v>18.2</v>
      </c>
      <c r="B13" s="433" t="str">
        <f>'Materiais de reposição'!C5</f>
        <v>Lavatório com coluna suspensa de louça branca deca modelo vogue plus L51 CS1v</v>
      </c>
      <c r="C13" s="23">
        <f>'Materiais de reposição'!D5</f>
        <v>1</v>
      </c>
      <c r="D13" s="23" t="str">
        <f>'Materiais de reposição'!E5</f>
        <v>unid</v>
      </c>
      <c r="E13" s="495">
        <f>'Materiais de reposição'!F5</f>
        <v>317.60000000000002</v>
      </c>
      <c r="F13" s="495">
        <f>'Materiais de reposição'!G5</f>
        <v>317.60000000000002</v>
      </c>
      <c r="G13" s="65"/>
    </row>
    <row r="14" spans="1:7" s="435" customFormat="1">
      <c r="A14" s="494" t="str">
        <f>'Materiais de reposição'!A6</f>
        <v>18.3</v>
      </c>
      <c r="B14" s="433" t="str">
        <f>'Materiais de reposição'!C6</f>
        <v>Tanque grande branco com coluna Deca TQ03</v>
      </c>
      <c r="C14" s="23">
        <f>'Materiais de reposição'!D6</f>
        <v>1</v>
      </c>
      <c r="D14" s="23" t="str">
        <f>'Materiais de reposição'!E6</f>
        <v>unid</v>
      </c>
      <c r="E14" s="495">
        <f>'Materiais de reposição'!F6</f>
        <v>534.5</v>
      </c>
      <c r="F14" s="495">
        <f>'Materiais de reposição'!G6</f>
        <v>534.5</v>
      </c>
      <c r="G14" s="65"/>
    </row>
    <row r="15" spans="1:7" s="435" customFormat="1">
      <c r="A15" s="494" t="str">
        <f>'Materiais de reposição'!A7</f>
        <v>18.4</v>
      </c>
      <c r="B15" s="433" t="str">
        <f>'Materiais de reposição'!C7</f>
        <v xml:space="preserve">TORNEIRA CROMADA DE MESA PARA LAVATORIO TEMPORIZADA PRESSAO BICA BAIXA </v>
      </c>
      <c r="C15" s="23">
        <f>'Materiais de reposição'!D7</f>
        <v>4</v>
      </c>
      <c r="D15" s="23" t="str">
        <f>'Materiais de reposição'!E7</f>
        <v>unid</v>
      </c>
      <c r="E15" s="495">
        <f>'Materiais de reposição'!F7</f>
        <v>156.78</v>
      </c>
      <c r="F15" s="495">
        <f>'Materiais de reposição'!G7</f>
        <v>627.12</v>
      </c>
      <c r="G15" s="65"/>
    </row>
    <row r="16" spans="1:7" s="435" customFormat="1">
      <c r="A16" s="494" t="str">
        <f>'Materiais de reposição'!A8</f>
        <v>18.5</v>
      </c>
      <c r="B16" s="433" t="str">
        <f>'Materiais de reposição'!C8</f>
        <v>ASSENTO SANITARIO DE PLASTICO, TIPO CONVENCIONAL</v>
      </c>
      <c r="C16" s="23">
        <f>'Materiais de reposição'!D8</f>
        <v>6</v>
      </c>
      <c r="D16" s="23" t="str">
        <f>'Materiais de reposição'!E8</f>
        <v>unid</v>
      </c>
      <c r="E16" s="495">
        <f>'Materiais de reposição'!F8</f>
        <v>44.1</v>
      </c>
      <c r="F16" s="495">
        <f>'Materiais de reposição'!G8</f>
        <v>264.60000000000002</v>
      </c>
      <c r="G16" s="65"/>
    </row>
    <row r="17" spans="1:7" s="435" customFormat="1">
      <c r="A17" s="494" t="str">
        <f>'Materiais de reposição'!A9</f>
        <v>18.6</v>
      </c>
      <c r="B17" s="433" t="str">
        <f>'Materiais de reposição'!C9</f>
        <v>CUBA para cozinha retangular em AÇO INOX, 400 x 340 mm, com 170mm de profundidade</v>
      </c>
      <c r="C17" s="23">
        <f>'Materiais de reposição'!D9</f>
        <v>1</v>
      </c>
      <c r="D17" s="23" t="str">
        <f>'Materiais de reposição'!E9</f>
        <v>unid</v>
      </c>
      <c r="E17" s="495">
        <f>'Materiais de reposição'!F9</f>
        <v>235.59</v>
      </c>
      <c r="F17" s="495">
        <f>'Materiais de reposição'!G9</f>
        <v>235.59</v>
      </c>
      <c r="G17" s="65"/>
    </row>
    <row r="18" spans="1:7" s="435" customFormat="1">
      <c r="A18" s="494" t="str">
        <f>'Materiais de reposição'!A10</f>
        <v>18.7</v>
      </c>
      <c r="B18" s="433" t="str">
        <f>'Materiais de reposição'!C10</f>
        <v>Torneira cromada curta sem arejador ½” para jardim</v>
      </c>
      <c r="C18" s="23">
        <f>'Materiais de reposição'!D10</f>
        <v>5</v>
      </c>
      <c r="D18" s="23" t="str">
        <f>'Materiais de reposição'!E10</f>
        <v>unid</v>
      </c>
      <c r="E18" s="495">
        <f>'Materiais de reposição'!F10</f>
        <v>62.71</v>
      </c>
      <c r="F18" s="495">
        <f>'Materiais de reposição'!G10</f>
        <v>313.55</v>
      </c>
      <c r="G18" s="65"/>
    </row>
    <row r="19" spans="1:7" s="435" customFormat="1">
      <c r="A19" s="494" t="str">
        <f>'Materiais de reposição'!A11</f>
        <v>18.8</v>
      </c>
      <c r="B19" s="433" t="str">
        <f>'Materiais de reposição'!C11</f>
        <v>Torneira para tanque de parede Ref: Deca MAX 1153.C34</v>
      </c>
      <c r="C19" s="23">
        <f>'Materiais de reposição'!D11</f>
        <v>2</v>
      </c>
      <c r="D19" s="23" t="str">
        <f>'Materiais de reposição'!E11</f>
        <v>unid</v>
      </c>
      <c r="E19" s="495">
        <f>'Materiais de reposição'!F11</f>
        <v>198.61</v>
      </c>
      <c r="F19" s="495">
        <f>'Materiais de reposição'!G11</f>
        <v>397.22</v>
      </c>
      <c r="G19" s="65"/>
    </row>
    <row r="20" spans="1:7" s="435" customFormat="1" ht="16.5" customHeight="1">
      <c r="A20" s="494" t="str">
        <f>'Materiais de reposição'!A12</f>
        <v>18.9</v>
      </c>
      <c r="B20" s="433" t="str">
        <f>'Materiais de reposição'!C12</f>
        <v xml:space="preserve">Torneira copa e cozinha - DE MESA/BANCADA, PARA COZINHA, BICA MOVEL, COM AREJADOR, 1/2 " OU 3/4 </v>
      </c>
      <c r="C20" s="23">
        <f>'Materiais de reposição'!D12</f>
        <v>2</v>
      </c>
      <c r="D20" s="23" t="str">
        <f>'Materiais de reposição'!E12</f>
        <v>unid</v>
      </c>
      <c r="E20" s="495">
        <f>'Materiais de reposição'!F12</f>
        <v>132.62</v>
      </c>
      <c r="F20" s="495">
        <f>'Materiais de reposição'!G12</f>
        <v>265.24</v>
      </c>
      <c r="G20" s="65"/>
    </row>
    <row r="21" spans="1:7" s="435" customFormat="1">
      <c r="A21" s="494" t="str">
        <f>'Materiais de reposição'!A13</f>
        <v>18.10</v>
      </c>
      <c r="B21" s="433" t="str">
        <f>'Materiais de reposição'!C13</f>
        <v>SIFAO EM METAL CROMADO PARA PIA OU LAVATORIO, 1 X 1.1/2</v>
      </c>
      <c r="C21" s="23">
        <f>'Materiais de reposição'!D13</f>
        <v>3</v>
      </c>
      <c r="D21" s="23" t="str">
        <f>'Materiais de reposição'!E13</f>
        <v>unid</v>
      </c>
      <c r="E21" s="495">
        <f>'Materiais de reposição'!F13</f>
        <v>142.9</v>
      </c>
      <c r="F21" s="495">
        <f>'Materiais de reposição'!G13</f>
        <v>428.7</v>
      </c>
      <c r="G21" s="65"/>
    </row>
    <row r="22" spans="1:7" s="435" customFormat="1">
      <c r="A22" s="494" t="str">
        <f>'Materiais de reposição'!A14</f>
        <v>18.11</v>
      </c>
      <c r="B22" s="433" t="str">
        <f>'Materiais de reposição'!C14</f>
        <v>SIFAO EM METAL CROMADO PARA TANQUE, 1.1/4 X 1.1/2</v>
      </c>
      <c r="C22" s="23">
        <f>'Materiais de reposição'!D14</f>
        <v>2</v>
      </c>
      <c r="D22" s="23" t="str">
        <f>'Materiais de reposição'!E14</f>
        <v>unid</v>
      </c>
      <c r="E22" s="495">
        <f>'Materiais de reposição'!F14</f>
        <v>151.34</v>
      </c>
      <c r="F22" s="495">
        <f>'Materiais de reposição'!G14</f>
        <v>302.68</v>
      </c>
      <c r="G22" s="65"/>
    </row>
    <row r="23" spans="1:7" s="435" customFormat="1">
      <c r="A23" s="494" t="str">
        <f>'Materiais de reposição'!A15</f>
        <v>18.12</v>
      </c>
      <c r="B23" s="433" t="str">
        <f>'Materiais de reposição'!C15</f>
        <v>Mola hidráulica aérea para instalação em portas de madeira. Ref: Mola modelo MA 200, marca Dorma.</v>
      </c>
      <c r="C23" s="23">
        <f>'Materiais de reposição'!D15</f>
        <v>4</v>
      </c>
      <c r="D23" s="23" t="str">
        <f>'Materiais de reposição'!E15</f>
        <v>unid</v>
      </c>
      <c r="E23" s="495">
        <f>'Materiais de reposição'!F15</f>
        <v>178.75</v>
      </c>
      <c r="F23" s="495">
        <f>'Materiais de reposição'!G15</f>
        <v>715</v>
      </c>
      <c r="G23" s="65"/>
    </row>
    <row r="24" spans="1:7" s="435" customFormat="1">
      <c r="A24" s="494" t="str">
        <f>'Materiais de reposição'!A16</f>
        <v>18.13</v>
      </c>
      <c r="B24" s="433" t="str">
        <f>'Materiais de reposição'!C16</f>
        <v>Placa de carpete 60x60 instalada em fibra 100% nylon , fio bouclê, na cor padrão do plenario</v>
      </c>
      <c r="C24" s="23">
        <f>'Materiais de reposição'!D16</f>
        <v>20</v>
      </c>
      <c r="D24" s="23" t="str">
        <f>'Materiais de reposição'!E16</f>
        <v>m²</v>
      </c>
      <c r="E24" s="495">
        <f>'Materiais de reposição'!F16</f>
        <v>248.4</v>
      </c>
      <c r="F24" s="495">
        <f>'Materiais de reposição'!G16</f>
        <v>4968</v>
      </c>
      <c r="G24" s="65"/>
    </row>
    <row r="25" spans="1:7" s="435" customFormat="1">
      <c r="A25" s="494" t="str">
        <f>'Materiais de reposição'!A17</f>
        <v>18.14</v>
      </c>
      <c r="B25" s="433" t="str">
        <f>'Materiais de reposição'!C17</f>
        <v>Caixa de comando Deca 1180 para torneiras automaticas de banheiro</v>
      </c>
      <c r="C25" s="23">
        <f>'Materiais de reposição'!D17</f>
        <v>4</v>
      </c>
      <c r="D25" s="23" t="str">
        <f>'Materiais de reposição'!E17</f>
        <v>unid</v>
      </c>
      <c r="E25" s="495">
        <f>'Materiais de reposição'!F17</f>
        <v>1001.98</v>
      </c>
      <c r="F25" s="495">
        <f>'Materiais de reposição'!G17</f>
        <v>4007.92</v>
      </c>
      <c r="G25" s="65"/>
    </row>
    <row r="26" spans="1:7" s="435" customFormat="1">
      <c r="A26" s="494" t="str">
        <f>'Materiais de reposição'!A18</f>
        <v>18.15</v>
      </c>
      <c r="B26" s="433" t="str">
        <f>'Materiais de reposição'!C18</f>
        <v>Sensor para torneira automatica de banheiro Deca 1180 com canopla</v>
      </c>
      <c r="C26" s="23">
        <f>'Materiais de reposição'!D18</f>
        <v>4</v>
      </c>
      <c r="D26" s="23" t="str">
        <f>'Materiais de reposição'!E18</f>
        <v>unid</v>
      </c>
      <c r="E26" s="495">
        <f>'Materiais de reposição'!F18</f>
        <v>332.98</v>
      </c>
      <c r="F26" s="495">
        <f>'Materiais de reposição'!G18</f>
        <v>1331.92</v>
      </c>
      <c r="G26" s="65"/>
    </row>
    <row r="27" spans="1:7" s="435" customFormat="1">
      <c r="A27" s="494" t="str">
        <f>'Materiais de reposição'!A19</f>
        <v>18.16</v>
      </c>
      <c r="B27" s="433" t="str">
        <f>'Materiais de reposição'!C19</f>
        <v xml:space="preserve">Válvula solenoide c/ rosca 3/4 </v>
      </c>
      <c r="C27" s="23">
        <f>'Materiais de reposição'!D19</f>
        <v>4</v>
      </c>
      <c r="D27" s="23" t="str">
        <f>'Materiais de reposição'!E19</f>
        <v>unid</v>
      </c>
      <c r="E27" s="495">
        <f>'Materiais de reposição'!F19</f>
        <v>165.65</v>
      </c>
      <c r="F27" s="495">
        <f>'Materiais de reposição'!G19</f>
        <v>662.6</v>
      </c>
      <c r="G27" s="65"/>
    </row>
    <row r="28" spans="1:7" s="435" customFormat="1">
      <c r="A28" s="494" t="str">
        <f>'Materiais de reposição'!A20</f>
        <v>18.17</v>
      </c>
      <c r="B28" s="433" t="str">
        <f>'Materiais de reposição'!C20</f>
        <v>Caixa de comando caixa/sensor para mictório 2580 Deca</v>
      </c>
      <c r="C28" s="23">
        <f>'Materiais de reposição'!D20</f>
        <v>4</v>
      </c>
      <c r="D28" s="23" t="str">
        <f>'Materiais de reposição'!E20</f>
        <v>unid</v>
      </c>
      <c r="E28" s="495">
        <f>'Materiais de reposição'!F20</f>
        <v>1632.72</v>
      </c>
      <c r="F28" s="495">
        <f>'Materiais de reposição'!G20</f>
        <v>6530.88</v>
      </c>
      <c r="G28" s="65"/>
    </row>
    <row r="29" spans="1:7" s="435" customFormat="1">
      <c r="A29" s="494" t="str">
        <f>'Materiais de reposição'!A21</f>
        <v>18.18</v>
      </c>
      <c r="B29" s="433" t="str">
        <f>'Materiais de reposição'!C21</f>
        <v>Silicone de uso geral 280g</v>
      </c>
      <c r="C29" s="23">
        <f>'Materiais de reposição'!D21</f>
        <v>5</v>
      </c>
      <c r="D29" s="23" t="str">
        <f>'Materiais de reposição'!E21</f>
        <v>unid</v>
      </c>
      <c r="E29" s="495">
        <f>'Materiais de reposição'!F21</f>
        <v>26.59</v>
      </c>
      <c r="F29" s="495">
        <f>'Materiais de reposição'!G21</f>
        <v>132.94999999999999</v>
      </c>
      <c r="G29" s="65"/>
    </row>
    <row r="30" spans="1:7" s="435" customFormat="1">
      <c r="A30" s="494" t="str">
        <f>'Materiais de reposição'!A22</f>
        <v>18.19</v>
      </c>
      <c r="B30" s="433" t="str">
        <f>'Materiais de reposição'!C22</f>
        <v>Silicone PU 40 para juntas - 310ml</v>
      </c>
      <c r="C30" s="23">
        <f>'Materiais de reposição'!D22</f>
        <v>10</v>
      </c>
      <c r="D30" s="23" t="str">
        <f>'Materiais de reposição'!E22</f>
        <v>tubo</v>
      </c>
      <c r="E30" s="495">
        <f>'Materiais de reposição'!F22</f>
        <v>40.24</v>
      </c>
      <c r="F30" s="495">
        <f>'Materiais de reposição'!G22</f>
        <v>402.4</v>
      </c>
      <c r="G30" s="65"/>
    </row>
    <row r="31" spans="1:7" s="435" customFormat="1">
      <c r="A31" s="494" t="str">
        <f>'Materiais de reposição'!A23</f>
        <v>18.20</v>
      </c>
      <c r="B31" s="433" t="str">
        <f>'Materiais de reposição'!C23</f>
        <v>Piso tátil pinado, em ABS revestido de inox, 100pç por metro</v>
      </c>
      <c r="C31" s="23">
        <f>'Materiais de reposição'!D23</f>
        <v>2</v>
      </c>
      <c r="D31" s="23" t="str">
        <f>'Materiais de reposição'!E23</f>
        <v>m</v>
      </c>
      <c r="E31" s="495">
        <f>'Materiais de reposição'!F23</f>
        <v>120.75</v>
      </c>
      <c r="F31" s="495">
        <f>'Materiais de reposição'!G23</f>
        <v>241.5</v>
      </c>
      <c r="G31" s="65"/>
    </row>
    <row r="32" spans="1:7" s="435" customFormat="1">
      <c r="A32" s="494" t="str">
        <f>'Materiais de reposição'!A24</f>
        <v>18.21</v>
      </c>
      <c r="B32" s="433" t="str">
        <f>'Materiais de reposição'!C24</f>
        <v>Conjunto de Fechadura cromada para porta interna de madeira, no padrão da existente, Lafonte ref 515</v>
      </c>
      <c r="C32" s="23">
        <f>'Materiais de reposição'!D24</f>
        <v>3</v>
      </c>
      <c r="D32" s="23" t="str">
        <f>'Materiais de reposição'!E24</f>
        <v>unid</v>
      </c>
      <c r="E32" s="495">
        <f>'Materiais de reposição'!F24</f>
        <v>209.65</v>
      </c>
      <c r="F32" s="495">
        <f>'Materiais de reposição'!G24</f>
        <v>628.95000000000005</v>
      </c>
      <c r="G32" s="65"/>
    </row>
    <row r="33" spans="1:7" s="435" customFormat="1">
      <c r="A33" s="494" t="str">
        <f>'Materiais de reposição'!A25</f>
        <v>18.22</v>
      </c>
      <c r="B33" s="433" t="str">
        <f>'Materiais de reposição'!C25</f>
        <v>Conjunto de Fechadura de porta de madeira preta ref La fonte 6521</v>
      </c>
      <c r="C33" s="23">
        <f>'Materiais de reposição'!D25</f>
        <v>8</v>
      </c>
      <c r="D33" s="23" t="str">
        <f>'Materiais de reposição'!E25</f>
        <v>unid</v>
      </c>
      <c r="E33" s="495">
        <f>'Materiais de reposição'!F25</f>
        <v>118.03</v>
      </c>
      <c r="F33" s="495">
        <f>'Materiais de reposição'!G25</f>
        <v>944.24</v>
      </c>
      <c r="G33" s="65"/>
    </row>
    <row r="34" spans="1:7" s="435" customFormat="1">
      <c r="A34" s="494" t="str">
        <f>'Materiais de reposição'!A26</f>
        <v>18.23</v>
      </c>
      <c r="B34" s="433" t="str">
        <f>'Materiais de reposição'!C26</f>
        <v>PLACA DE FIBRA MINERAL PARA FORRO, DE 625 X 625 MM, E = 15 MM</v>
      </c>
      <c r="C34" s="23">
        <f>'Materiais de reposição'!D26</f>
        <v>10</v>
      </c>
      <c r="D34" s="23" t="str">
        <f>'Materiais de reposição'!E26</f>
        <v>unid</v>
      </c>
      <c r="E34" s="495">
        <f>'Materiais de reposição'!F26</f>
        <v>47.3</v>
      </c>
      <c r="F34" s="495">
        <f>'Materiais de reposição'!G26</f>
        <v>473</v>
      </c>
      <c r="G34" s="65"/>
    </row>
    <row r="35" spans="1:7" s="435" customFormat="1">
      <c r="A35" s="494" t="str">
        <f>'Materiais de reposição'!A27</f>
        <v>18.24</v>
      </c>
      <c r="B35" s="433" t="str">
        <f>'Materiais de reposição'!C27</f>
        <v>Engate flexivel inox 1/2 x 40cm</v>
      </c>
      <c r="C35" s="23">
        <f>'Materiais de reposição'!D27</f>
        <v>2</v>
      </c>
      <c r="D35" s="23" t="str">
        <f>'Materiais de reposição'!E27</f>
        <v>unid</v>
      </c>
      <c r="E35" s="495">
        <f>'Materiais de reposição'!F27</f>
        <v>35.869999999999997</v>
      </c>
      <c r="F35" s="495">
        <f>'Materiais de reposição'!G27</f>
        <v>71.739999999999995</v>
      </c>
      <c r="G35" s="65"/>
    </row>
    <row r="36" spans="1:7" s="435" customFormat="1" ht="47.25">
      <c r="A36" s="494" t="str">
        <f>'Materiais de reposição'!A28</f>
        <v>18.25</v>
      </c>
      <c r="B36" s="433" t="str">
        <f>'Materiais de reposição'!C28</f>
        <v>BOMBAS RECALQUE - Ref: Dancor S.A. - Modelo: 10110630 630 T JM - Mod: PB 100 L2/NM – 5CV,  Norma - Nema MG1-18.614 - JM, Rotação: 2 polos - 3.450 rpm - 60 Hz, Trifásico: 220/380V, IP 55, isolamento classe B (ou similar)</v>
      </c>
      <c r="C36" s="23">
        <f>'Materiais de reposição'!D28</f>
        <v>1</v>
      </c>
      <c r="D36" s="23" t="str">
        <f>'Materiais de reposição'!E28</f>
        <v>unid</v>
      </c>
      <c r="E36" s="495">
        <f>'Materiais de reposição'!F28</f>
        <v>3863.21</v>
      </c>
      <c r="F36" s="495">
        <f>'Materiais de reposição'!G28</f>
        <v>3863.21</v>
      </c>
      <c r="G36" s="65"/>
    </row>
    <row r="37" spans="1:7" s="435" customFormat="1" ht="31.5">
      <c r="A37" s="494" t="str">
        <f>'Materiais de reposição'!A29</f>
        <v>18.26</v>
      </c>
      <c r="B37" s="433" t="str">
        <f>'Materiais de reposição'!C29</f>
        <v>BOMBA PRESSURIZAÇÃO - Fabricante: Schneider Motobombas - BCR – 2000V 1CV mono 60Hz 220V - 3450rpm, Motor elétrico: IP-00 com capa de proteção, termostato e capacitor permanente, 2 Polos, 60 Hz - ou similar</v>
      </c>
      <c r="C37" s="23">
        <f>'Materiais de reposição'!D29</f>
        <v>1</v>
      </c>
      <c r="D37" s="23" t="str">
        <f>'Materiais de reposição'!E29</f>
        <v>unid</v>
      </c>
      <c r="E37" s="495">
        <f>'Materiais de reposição'!F29</f>
        <v>871.61</v>
      </c>
      <c r="F37" s="495">
        <f>'Materiais de reposição'!G29</f>
        <v>871.61</v>
      </c>
      <c r="G37" s="65"/>
    </row>
    <row r="38" spans="1:7" s="435" customFormat="1">
      <c r="A38" s="494" t="str">
        <f>'Materiais de reposição'!A30</f>
        <v>18.27</v>
      </c>
      <c r="B38" s="433" t="str">
        <f>'Materiais de reposição'!C30</f>
        <v>BOMBA CASCATA - Fabricante: Jacuzzi do Brasil - Modelo: 3DM1-T – 3CV - ou similar</v>
      </c>
      <c r="C38" s="23">
        <f>'Materiais de reposição'!D30</f>
        <v>1</v>
      </c>
      <c r="D38" s="23" t="str">
        <f>'Materiais de reposição'!E30</f>
        <v>unid</v>
      </c>
      <c r="E38" s="495">
        <f>'Materiais de reposição'!F30</f>
        <v>1359.9</v>
      </c>
      <c r="F38" s="495">
        <f>'Materiais de reposição'!G30</f>
        <v>1359.9</v>
      </c>
      <c r="G38" s="65"/>
    </row>
    <row r="39" spans="1:7" s="435" customFormat="1" ht="31.5">
      <c r="A39" s="494" t="str">
        <f>'Materiais de reposição'!A31</f>
        <v>18.28</v>
      </c>
      <c r="B39" s="433" t="str">
        <f>'Materiais de reposição'!C31</f>
        <v>BOMBA FILTRO CASCATA - Fabricante: WEG - Bomba com pré filtro série APP - 1/2CV – 3470rpm – 60Hz, 2 polos – isolamento: F IP 21 - ou simlar</v>
      </c>
      <c r="C39" s="23">
        <f>'Materiais de reposição'!D31</f>
        <v>1</v>
      </c>
      <c r="D39" s="23" t="str">
        <f>'Materiais de reposição'!E31</f>
        <v>unid</v>
      </c>
      <c r="E39" s="495">
        <f>'Materiais de reposição'!F31</f>
        <v>1179.9000000000001</v>
      </c>
      <c r="F39" s="495">
        <f>'Materiais de reposição'!G31</f>
        <v>1179.9000000000001</v>
      </c>
      <c r="G39" s="65"/>
    </row>
    <row r="40" spans="1:7" s="435" customFormat="1" ht="31.5">
      <c r="A40" s="494" t="str">
        <f>'Materiais de reposição'!A32</f>
        <v>18.29</v>
      </c>
      <c r="B40" s="433" t="str">
        <f>'Materiais de reposição'!C32</f>
        <v>BOMBA PARA ESGOTAMENTO DE POÇO DE ESGOTO. Referência: WEG jacaré 220/380V, 3CV, robusta- ou similar</v>
      </c>
      <c r="C40" s="23">
        <f>'Materiais de reposição'!D32</f>
        <v>1</v>
      </c>
      <c r="D40" s="23" t="str">
        <f>'Materiais de reposição'!E32</f>
        <v>unid</v>
      </c>
      <c r="E40" s="495">
        <f>'Materiais de reposição'!F32</f>
        <v>3129.9</v>
      </c>
      <c r="F40" s="495">
        <f>'Materiais de reposição'!G32</f>
        <v>3129.9</v>
      </c>
      <c r="G40" s="65"/>
    </row>
    <row r="41" spans="1:7" s="435" customFormat="1" ht="31.5">
      <c r="A41" s="494" t="str">
        <f>'Materiais de reposição'!A33</f>
        <v>18.30</v>
      </c>
      <c r="B41" s="433" t="str">
        <f>'Materiais de reposição'!C33</f>
        <v>Bomba de esgotamento de poço de aguas pluviais, tipo sub dreno (SDE) 3hp, monobloco, vertical, carcaça com ralo de aspiração incorporado, motor com 2 polos, 3450rpm. Ref: Dancor 2303 - ou similar</v>
      </c>
      <c r="C41" s="23">
        <f>'Materiais de reposição'!D33</f>
        <v>1</v>
      </c>
      <c r="D41" s="23" t="str">
        <f>'Materiais de reposição'!E33</f>
        <v>unid</v>
      </c>
      <c r="E41" s="495">
        <f>'Materiais de reposição'!F33</f>
        <v>3129.9</v>
      </c>
      <c r="F41" s="495">
        <f>'Materiais de reposição'!G33</f>
        <v>3129.9</v>
      </c>
      <c r="G41" s="65"/>
    </row>
    <row r="42" spans="1:7" s="435" customFormat="1">
      <c r="A42" s="494" t="str">
        <f>'Materiais de reposição'!A34</f>
        <v>18.31</v>
      </c>
      <c r="B42" s="433" t="str">
        <f>'Materiais de reposição'!C34</f>
        <v>Botao de acionamento manual caixa acoplada Deca branco</v>
      </c>
      <c r="C42" s="23">
        <f>'Materiais de reposição'!D34</f>
        <v>5</v>
      </c>
      <c r="D42" s="23" t="str">
        <f>'Materiais de reposição'!E34</f>
        <v>unid</v>
      </c>
      <c r="E42" s="495">
        <f>'Materiais de reposição'!F34</f>
        <v>32.35</v>
      </c>
      <c r="F42" s="495">
        <f>'Materiais de reposição'!G34</f>
        <v>161.75</v>
      </c>
      <c r="G42" s="65"/>
    </row>
    <row r="43" spans="1:7" s="435" customFormat="1" ht="31.5">
      <c r="A43" s="494" t="str">
        <f>'Materiais de reposição'!A35</f>
        <v>18.32</v>
      </c>
      <c r="B43" s="433" t="str">
        <f>'Materiais de reposição'!C35</f>
        <v>TAMPAO FOFO SIMPLES COM BASE, CLASSE A15 CARGA MAX 1,5 T, 400 X 600 MM (COM INSCRICAO EM RELEVO DO TIPO DE REDE)</v>
      </c>
      <c r="C43" s="23">
        <f>'Materiais de reposição'!D35</f>
        <v>10</v>
      </c>
      <c r="D43" s="23" t="str">
        <f>'Materiais de reposição'!E35</f>
        <v>unid</v>
      </c>
      <c r="E43" s="495">
        <f>'Materiais de reposição'!F35</f>
        <v>157.78</v>
      </c>
      <c r="F43" s="495">
        <f>'Materiais de reposição'!G35</f>
        <v>1577.8</v>
      </c>
      <c r="G43" s="65"/>
    </row>
    <row r="44" spans="1:7" s="435" customFormat="1">
      <c r="A44" s="494" t="str">
        <f>'Materiais de reposição'!A36</f>
        <v>18.33</v>
      </c>
      <c r="B44" s="433" t="str">
        <f>'Materiais de reposição'!C36</f>
        <v>Boia de nivel eletrica, sensor 15a, cabo 5m</v>
      </c>
      <c r="C44" s="23">
        <f>'Materiais de reposição'!D36</f>
        <v>4</v>
      </c>
      <c r="D44" s="23" t="str">
        <f>'Materiais de reposição'!E36</f>
        <v>unid</v>
      </c>
      <c r="E44" s="495">
        <f>'Materiais de reposição'!F36</f>
        <v>56.9</v>
      </c>
      <c r="F44" s="495">
        <f>'Materiais de reposição'!G36</f>
        <v>227.6</v>
      </c>
      <c r="G44" s="65"/>
    </row>
    <row r="45" spans="1:7" s="435" customFormat="1">
      <c r="A45" s="494" t="str">
        <f>'Materiais de reposição'!A37</f>
        <v>18.34</v>
      </c>
      <c r="B45" s="433" t="str">
        <f>'Materiais de reposição'!C37</f>
        <v>Mangueira 1 ½” 15m tipo 2</v>
      </c>
      <c r="C45" s="23">
        <f>'Materiais de reposição'!D37</f>
        <v>5</v>
      </c>
      <c r="D45" s="23" t="str">
        <f>'Materiais de reposição'!E37</f>
        <v>unid</v>
      </c>
      <c r="E45" s="495">
        <f>'Materiais de reposição'!F37</f>
        <v>473.66</v>
      </c>
      <c r="F45" s="495">
        <f>'Materiais de reposição'!G37</f>
        <v>2368.3000000000002</v>
      </c>
      <c r="G45" s="65"/>
    </row>
    <row r="46" spans="1:7" s="435" customFormat="1">
      <c r="A46" s="494" t="str">
        <f>'Materiais de reposição'!A38</f>
        <v>18.35</v>
      </c>
      <c r="B46" s="433" t="str">
        <f>'Materiais de reposição'!C38</f>
        <v>Registro de gaveta bruto 2 1/2".</v>
      </c>
      <c r="C46" s="23">
        <f>'Materiais de reposição'!D38</f>
        <v>2</v>
      </c>
      <c r="D46" s="23" t="str">
        <f>'Materiais de reposição'!E38</f>
        <v>unid</v>
      </c>
      <c r="E46" s="495">
        <f>'Materiais de reposição'!F38</f>
        <v>266.98</v>
      </c>
      <c r="F46" s="495">
        <f>'Materiais de reposição'!G38</f>
        <v>533.96</v>
      </c>
      <c r="G46" s="65"/>
    </row>
    <row r="47" spans="1:7" s="435" customFormat="1" ht="31.5">
      <c r="A47" s="494" t="str">
        <f>'Materiais de reposição'!A39</f>
        <v>18.36</v>
      </c>
      <c r="B47" s="433" t="str">
        <f>'Materiais de reposição'!C39</f>
        <v>Esguicho de neblina regulável, confeccionado em bronze ASTM-B-62. Diâmetro 1 1/2". Dotado de 3 posições: fechado, jato sólido e neblina fina</v>
      </c>
      <c r="C47" s="23">
        <f>'Materiais de reposição'!D39</f>
        <v>1</v>
      </c>
      <c r="D47" s="23" t="str">
        <f>'Materiais de reposição'!E39</f>
        <v>unid</v>
      </c>
      <c r="E47" s="495">
        <f>'Materiais de reposição'!F39</f>
        <v>211.38</v>
      </c>
      <c r="F47" s="495">
        <f>'Materiais de reposição'!G39</f>
        <v>211.38</v>
      </c>
      <c r="G47" s="65"/>
    </row>
    <row r="48" spans="1:7" s="435" customFormat="1">
      <c r="A48" s="494" t="str">
        <f>'Materiais de reposição'!A40</f>
        <v>18.37</v>
      </c>
      <c r="B48" s="433" t="str">
        <f>'Materiais de reposição'!C40</f>
        <v>Bicos de Sprinkler Ø 1/2", temp. 68ºC, tipo tubo molhado, conforme padrão existente no edifício</v>
      </c>
      <c r="C48" s="23">
        <f>'Materiais de reposição'!D40</f>
        <v>5</v>
      </c>
      <c r="D48" s="23" t="str">
        <f>'Materiais de reposição'!E40</f>
        <v>unid</v>
      </c>
      <c r="E48" s="495">
        <f>'Materiais de reposição'!F40</f>
        <v>35.770000000000003</v>
      </c>
      <c r="F48" s="495">
        <f>'Materiais de reposição'!G40</f>
        <v>178.85</v>
      </c>
      <c r="G48" s="65"/>
    </row>
    <row r="49" spans="1:7" s="435" customFormat="1">
      <c r="A49" s="494" t="str">
        <f>'Materiais de reposição'!A41</f>
        <v>18.38</v>
      </c>
      <c r="B49" s="433" t="str">
        <f>'Materiais de reposição'!C41</f>
        <v>Dobradiça porta corta fogo  no padrão das atuais</v>
      </c>
      <c r="C49" s="23">
        <f>'Materiais de reposição'!D41</f>
        <v>9</v>
      </c>
      <c r="D49" s="23" t="str">
        <f>'Materiais de reposição'!E41</f>
        <v>unid</v>
      </c>
      <c r="E49" s="495">
        <f>'Materiais de reposição'!F41</f>
        <v>77.28</v>
      </c>
      <c r="F49" s="495">
        <f>'Materiais de reposição'!G41</f>
        <v>695.52</v>
      </c>
      <c r="G49" s="65"/>
    </row>
    <row r="50" spans="1:7" s="435" customFormat="1">
      <c r="A50" s="494" t="str">
        <f>'Materiais de reposição'!A42</f>
        <v>18.39</v>
      </c>
      <c r="B50" s="433" t="str">
        <f>'Materiais de reposição'!C42</f>
        <v>Lâmpada LED bulbo 10W bivolt E27 branca 6000k</v>
      </c>
      <c r="C50" s="23">
        <f>'Materiais de reposição'!D42</f>
        <v>150</v>
      </c>
      <c r="D50" s="23" t="str">
        <f>'Materiais de reposição'!E42</f>
        <v>unid</v>
      </c>
      <c r="E50" s="495">
        <f>'Materiais de reposição'!F42</f>
        <v>9.26</v>
      </c>
      <c r="F50" s="495">
        <f>'Materiais de reposição'!G42</f>
        <v>1389</v>
      </c>
      <c r="G50" s="65"/>
    </row>
    <row r="51" spans="1:7" s="435" customFormat="1">
      <c r="A51" s="494" t="str">
        <f>'Materiais de reposição'!A43</f>
        <v>18.40</v>
      </c>
      <c r="B51" s="433" t="str">
        <f>'Materiais de reposição'!C43</f>
        <v>Lâmpadas tubular led T5 18w 6500k 1200mm – Base G-13</v>
      </c>
      <c r="C51" s="23">
        <f>'Materiais de reposição'!D43</f>
        <v>150</v>
      </c>
      <c r="D51" s="23" t="str">
        <f>'Materiais de reposição'!E43</f>
        <v>unid</v>
      </c>
      <c r="E51" s="495">
        <f>'Materiais de reposição'!F43</f>
        <v>14.41</v>
      </c>
      <c r="F51" s="495">
        <f>'Materiais de reposição'!G43</f>
        <v>2161.5</v>
      </c>
      <c r="G51" s="65"/>
    </row>
    <row r="52" spans="1:7" s="435" customFormat="1">
      <c r="A52" s="494" t="str">
        <f>'Materiais de reposição'!A44</f>
        <v>18.41</v>
      </c>
      <c r="B52" s="433" t="str">
        <f>'Materiais de reposição'!C44</f>
        <v>Superled ar-111 85-265v 11w refletora gu-10 6500k - base gu-10</v>
      </c>
      <c r="C52" s="23">
        <f>'Materiais de reposição'!D44</f>
        <v>50</v>
      </c>
      <c r="D52" s="23" t="str">
        <f>'Materiais de reposição'!E44</f>
        <v>unid</v>
      </c>
      <c r="E52" s="495">
        <f>'Materiais de reposição'!F44</f>
        <v>45.38</v>
      </c>
      <c r="F52" s="495">
        <f>'Materiais de reposição'!G44</f>
        <v>2269</v>
      </c>
      <c r="G52" s="65"/>
    </row>
    <row r="53" spans="1:7" s="435" customFormat="1">
      <c r="A53" s="494" t="str">
        <f>'Materiais de reposição'!A45</f>
        <v>18.42</v>
      </c>
      <c r="B53" s="433" t="str">
        <f>'Materiais de reposição'!C45</f>
        <v>Lâmpada led ar-70 85-265v 7w refletora 6500k – base gu-10</v>
      </c>
      <c r="C53" s="23">
        <f>'Materiais de reposição'!D45</f>
        <v>20</v>
      </c>
      <c r="D53" s="23" t="str">
        <f>'Materiais de reposição'!E45</f>
        <v>unid</v>
      </c>
      <c r="E53" s="495">
        <f>'Materiais de reposição'!F45</f>
        <v>17.64</v>
      </c>
      <c r="F53" s="495">
        <f>'Materiais de reposição'!G45</f>
        <v>352.8</v>
      </c>
      <c r="G53" s="65"/>
    </row>
    <row r="54" spans="1:7" s="435" customFormat="1">
      <c r="A54" s="494" t="str">
        <f>'Materiais de reposição'!A46</f>
        <v>18.43</v>
      </c>
      <c r="B54" s="433" t="str">
        <f>'Materiais de reposição'!C46</f>
        <v>Lâmpada tubular led T8 9,5W 6500K 600MM (UL) – Base G13</v>
      </c>
      <c r="C54" s="23">
        <f>'Materiais de reposição'!D46</f>
        <v>100</v>
      </c>
      <c r="D54" s="23" t="str">
        <f>'Materiais de reposição'!E46</f>
        <v>unid</v>
      </c>
      <c r="E54" s="495">
        <f>'Materiais de reposição'!F46</f>
        <v>8.6</v>
      </c>
      <c r="F54" s="495">
        <f>'Materiais de reposição'!G46</f>
        <v>860</v>
      </c>
      <c r="G54" s="65"/>
    </row>
    <row r="55" spans="1:7" s="435" customFormat="1">
      <c r="A55" s="494" t="str">
        <f>'Materiais de reposição'!A47</f>
        <v>18.44</v>
      </c>
      <c r="B55" s="433" t="str">
        <f>'Materiais de reposição'!C47</f>
        <v>Lâmpada PAR 20 LED cor branca para uso externo - 220V, equivalência 50W - E27</v>
      </c>
      <c r="C55" s="23">
        <f>'Materiais de reposição'!D47</f>
        <v>50</v>
      </c>
      <c r="D55" s="23" t="str">
        <f>'Materiais de reposição'!E47</f>
        <v>unid</v>
      </c>
      <c r="E55" s="495">
        <f>'Materiais de reposição'!F47</f>
        <v>16.45</v>
      </c>
      <c r="F55" s="495">
        <f>'Materiais de reposição'!G47</f>
        <v>822.5</v>
      </c>
      <c r="G55" s="65"/>
    </row>
    <row r="56" spans="1:7" s="435" customFormat="1">
      <c r="A56" s="494" t="str">
        <f>'Materiais de reposição'!A48</f>
        <v>18.45</v>
      </c>
      <c r="B56" s="433" t="str">
        <f>'Materiais de reposição'!C48</f>
        <v>Lâmpada Eletrônica espiral 85w x 220v – Base E27</v>
      </c>
      <c r="C56" s="23">
        <f>'Materiais de reposição'!D48</f>
        <v>50</v>
      </c>
      <c r="D56" s="23" t="str">
        <f>'Materiais de reposição'!E48</f>
        <v>unid</v>
      </c>
      <c r="E56" s="495">
        <f>'Materiais de reposição'!F48</f>
        <v>9.26</v>
      </c>
      <c r="F56" s="495">
        <f>'Materiais de reposição'!G48</f>
        <v>463</v>
      </c>
      <c r="G56" s="65"/>
    </row>
    <row r="57" spans="1:7" s="435" customFormat="1">
      <c r="A57" s="494" t="str">
        <f>'Materiais de reposição'!A49</f>
        <v>18.46</v>
      </c>
      <c r="B57" s="433" t="str">
        <f>'Materiais de reposição'!C49</f>
        <v>Lâmpada led halopin silic 86-240v 3w 6500k– base G9</v>
      </c>
      <c r="C57" s="23">
        <f>'Materiais de reposição'!D49</f>
        <v>10</v>
      </c>
      <c r="D57" s="23" t="str">
        <f>'Materiais de reposição'!E49</f>
        <v>unid</v>
      </c>
      <c r="E57" s="495">
        <f>'Materiais de reposição'!F49</f>
        <v>18.399999999999999</v>
      </c>
      <c r="F57" s="495">
        <f>'Materiais de reposição'!G49</f>
        <v>184</v>
      </c>
      <c r="G57" s="65"/>
    </row>
    <row r="58" spans="1:7" s="435" customFormat="1">
      <c r="A58" s="494" t="str">
        <f>'Materiais de reposição'!A50</f>
        <v>18.47</v>
      </c>
      <c r="B58" s="433" t="str">
        <f>'Materiais de reposição'!C50</f>
        <v>Lâmpada Tubular Led T8 18W 6500K 1200MM - Base G13 – vida útil de 3000horas – branco frio</v>
      </c>
      <c r="C58" s="23">
        <f>'Materiais de reposição'!D50</f>
        <v>300</v>
      </c>
      <c r="D58" s="23" t="str">
        <f>'Materiais de reposição'!E50</f>
        <v>unid</v>
      </c>
      <c r="E58" s="495">
        <f>'Materiais de reposição'!F50</f>
        <v>11.5</v>
      </c>
      <c r="F58" s="495">
        <f>'Materiais de reposição'!G50</f>
        <v>3450</v>
      </c>
      <c r="G58" s="65"/>
    </row>
    <row r="59" spans="1:7" s="435" customFormat="1">
      <c r="A59" s="494" t="str">
        <f>'Materiais de reposição'!A51</f>
        <v>18.48</v>
      </c>
      <c r="B59" s="433" t="str">
        <f>'Materiais de reposição'!C51</f>
        <v>PROJETOR SUPERLED 200W 6500K IP-65 SLIM N.L, 31x28cm</v>
      </c>
      <c r="C59" s="23">
        <f>'Materiais de reposição'!D51</f>
        <v>5</v>
      </c>
      <c r="D59" s="23" t="str">
        <f>'Materiais de reposição'!E51</f>
        <v>unid</v>
      </c>
      <c r="E59" s="495">
        <f>'Materiais de reposição'!F51</f>
        <v>47.53</v>
      </c>
      <c r="F59" s="495">
        <f>'Materiais de reposição'!G51</f>
        <v>237.65</v>
      </c>
      <c r="G59" s="65"/>
    </row>
    <row r="60" spans="1:7" s="435" customFormat="1">
      <c r="A60" s="494" t="str">
        <f>'Materiais de reposição'!A52</f>
        <v>18.49</v>
      </c>
      <c r="B60" s="433" t="str">
        <f>'Materiais de reposição'!C52</f>
        <v>Lâmpada par38 led 15W branca</v>
      </c>
      <c r="C60" s="23">
        <f>'Materiais de reposição'!D52</f>
        <v>25</v>
      </c>
      <c r="D60" s="23" t="str">
        <f>'Materiais de reposição'!E52</f>
        <v>unid</v>
      </c>
      <c r="E60" s="495">
        <f>'Materiais de reposição'!F52</f>
        <v>5.81</v>
      </c>
      <c r="F60" s="495">
        <f>'Materiais de reposição'!G52</f>
        <v>145.25</v>
      </c>
      <c r="G60" s="65"/>
    </row>
    <row r="61" spans="1:7" s="435" customFormat="1">
      <c r="A61" s="494" t="str">
        <f>'Materiais de reposição'!A53</f>
        <v>18.50</v>
      </c>
      <c r="B61" s="433" t="str">
        <f>'Materiais de reposição'!C53</f>
        <v>Painéis de LED EMB. QD. 60X60 LISO 6000K 24W</v>
      </c>
      <c r="C61" s="23">
        <f>'Materiais de reposição'!D53</f>
        <v>5</v>
      </c>
      <c r="D61" s="23" t="str">
        <f>'Materiais de reposição'!E53</f>
        <v>unid</v>
      </c>
      <c r="E61" s="495">
        <f>'Materiais de reposição'!F53</f>
        <v>100.22</v>
      </c>
      <c r="F61" s="495">
        <f>'Materiais de reposição'!G53</f>
        <v>501.1</v>
      </c>
      <c r="G61" s="65"/>
    </row>
    <row r="62" spans="1:7" s="435" customFormat="1">
      <c r="A62" s="494" t="str">
        <f>'Materiais de reposição'!A54</f>
        <v>18.51</v>
      </c>
      <c r="B62" s="433" t="str">
        <f>'Materiais de reposição'!C54</f>
        <v>Luminária de embutir para jardim par 38 led</v>
      </c>
      <c r="C62" s="23">
        <f>'Materiais de reposição'!D54</f>
        <v>5</v>
      </c>
      <c r="D62" s="23" t="str">
        <f>'Materiais de reposição'!E54</f>
        <v>unid</v>
      </c>
      <c r="E62" s="495">
        <f>'Materiais de reposição'!F54</f>
        <v>28.74</v>
      </c>
      <c r="F62" s="495">
        <f>'Materiais de reposição'!G54</f>
        <v>143.69999999999999</v>
      </c>
      <c r="G62" s="65"/>
    </row>
    <row r="63" spans="1:7" s="435" customFormat="1">
      <c r="A63" s="494" t="str">
        <f>'Materiais de reposição'!A55</f>
        <v>18.52</v>
      </c>
      <c r="B63" s="433" t="str">
        <f>'Materiais de reposição'!C55</f>
        <v>Sinaleiro duplo 24 leds bivolt para sinalização de entrada e saída de garagem</v>
      </c>
      <c r="C63" s="23">
        <f>'Materiais de reposição'!D55</f>
        <v>2</v>
      </c>
      <c r="D63" s="23" t="str">
        <f>'Materiais de reposição'!E55</f>
        <v>unid</v>
      </c>
      <c r="E63" s="495">
        <f>'Materiais de reposição'!F55</f>
        <v>95.09</v>
      </c>
      <c r="F63" s="495">
        <f>'Materiais de reposição'!G55</f>
        <v>190.18</v>
      </c>
      <c r="G63" s="65"/>
    </row>
    <row r="64" spans="1:7" s="435" customFormat="1">
      <c r="A64" s="494" t="str">
        <f>'Materiais de reposição'!A56</f>
        <v>18.53</v>
      </c>
      <c r="B64" s="433" t="str">
        <f>'Materiais de reposição'!C56</f>
        <v>Folha de gelatina colorida uso fotografico, 50 x 60 cm, esp 3mm, para iluminação</v>
      </c>
      <c r="C64" s="23">
        <f>'Materiais de reposição'!D56</f>
        <v>30</v>
      </c>
      <c r="D64" s="23" t="str">
        <f>'Materiais de reposição'!E56</f>
        <v>unid</v>
      </c>
      <c r="E64" s="495">
        <f>'Materiais de reposição'!F56</f>
        <v>64</v>
      </c>
      <c r="F64" s="495">
        <f>'Materiais de reposição'!G56</f>
        <v>1920</v>
      </c>
      <c r="G64" s="65"/>
    </row>
    <row r="65" spans="1:7" s="435" customFormat="1">
      <c r="A65" s="494" t="str">
        <f>'Materiais de reposição'!A57</f>
        <v>18.54</v>
      </c>
      <c r="B65" s="433" t="str">
        <f>'Materiais de reposição'!C57</f>
        <v>Protetor contra surto modelo PQS 220 - DPS classe II/III com desacoplador térmico interno 15kA</v>
      </c>
      <c r="C65" s="23">
        <f>'Materiais de reposição'!D57</f>
        <v>10</v>
      </c>
      <c r="D65" s="23" t="str">
        <f>'Materiais de reposição'!E57</f>
        <v>unid</v>
      </c>
      <c r="E65" s="495">
        <f>'Materiais de reposição'!F57</f>
        <v>32.89</v>
      </c>
      <c r="F65" s="495">
        <f>'Materiais de reposição'!G57</f>
        <v>328.9</v>
      </c>
      <c r="G65" s="65"/>
    </row>
    <row r="66" spans="1:7" s="435" customFormat="1" ht="31.5">
      <c r="A66" s="494" t="str">
        <f>'Materiais de reposição'!A58</f>
        <v>18.55</v>
      </c>
      <c r="B66" s="433" t="str">
        <f>'Materiais de reposição'!C58</f>
        <v>Sensor de presença bivolt, automático, de sobrepor, 500W, alcance mínimo de 10m, ângulo de atuação de 100º, ajuste de tempo e sensibilidade.</v>
      </c>
      <c r="C66" s="23">
        <f>'Materiais de reposição'!D58</f>
        <v>6</v>
      </c>
      <c r="D66" s="23" t="str">
        <f>'Materiais de reposição'!E58</f>
        <v>unid</v>
      </c>
      <c r="E66" s="495">
        <f>'Materiais de reposição'!F58</f>
        <v>41.27</v>
      </c>
      <c r="F66" s="495">
        <f>'Materiais de reposição'!G58</f>
        <v>247.62</v>
      </c>
      <c r="G66" s="65"/>
    </row>
    <row r="67" spans="1:7" s="435" customFormat="1">
      <c r="A67" s="494" t="str">
        <f>'Materiais de reposição'!A59</f>
        <v>18.56</v>
      </c>
      <c r="B67" s="433" t="str">
        <f>'Materiais de reposição'!C59</f>
        <v>Cabos UTP categoria 6E CSU-4P 4 pares Furukawa</v>
      </c>
      <c r="C67" s="23">
        <f>'Materiais de reposição'!D59</f>
        <v>100</v>
      </c>
      <c r="D67" s="23" t="str">
        <f>'Materiais de reposição'!E59</f>
        <v>m</v>
      </c>
      <c r="E67" s="495">
        <f>'Materiais de reposição'!F59</f>
        <v>9.23</v>
      </c>
      <c r="F67" s="495">
        <f>'Materiais de reposição'!G59</f>
        <v>923</v>
      </c>
      <c r="G67" s="65"/>
    </row>
    <row r="68" spans="1:7" s="435" customFormat="1">
      <c r="A68" s="494" t="str">
        <f>'Materiais de reposição'!A60</f>
        <v>18.57</v>
      </c>
      <c r="B68" s="433" t="str">
        <f>'Materiais de reposição'!C60</f>
        <v>CONECTOR FEMEA RJ - 45, CATEGORIA 6</v>
      </c>
      <c r="C68" s="23">
        <f>'Materiais de reposição'!D60</f>
        <v>5</v>
      </c>
      <c r="D68" s="23" t="str">
        <f>'Materiais de reposição'!E60</f>
        <v>unid</v>
      </c>
      <c r="E68" s="495">
        <f>'Materiais de reposição'!F60</f>
        <v>38.479999999999997</v>
      </c>
      <c r="F68" s="495">
        <f>'Materiais de reposição'!G60</f>
        <v>192.4</v>
      </c>
      <c r="G68" s="65"/>
    </row>
    <row r="69" spans="1:7" s="435" customFormat="1">
      <c r="A69" s="494" t="str">
        <f>'Materiais de reposição'!A61</f>
        <v>18.58</v>
      </c>
      <c r="B69" s="433" t="str">
        <f>'Materiais de reposição'!C61</f>
        <v>CONECTOR MACHO RJ - 45, CATEGORIA 6</v>
      </c>
      <c r="C69" s="23">
        <f>'Materiais de reposição'!D61</f>
        <v>30</v>
      </c>
      <c r="D69" s="23" t="str">
        <f>'Materiais de reposição'!E61</f>
        <v>unid</v>
      </c>
      <c r="E69" s="495">
        <f>'Materiais de reposição'!F61</f>
        <v>4.0999999999999996</v>
      </c>
      <c r="F69" s="495">
        <f>'Materiais de reposição'!G61</f>
        <v>123</v>
      </c>
      <c r="G69" s="65"/>
    </row>
    <row r="70" spans="1:7" s="435" customFormat="1">
      <c r="A70" s="494" t="str">
        <f>'Materiais de reposição'!A62</f>
        <v>18.59</v>
      </c>
      <c r="B70" s="433" t="str">
        <f>'Materiais de reposição'!C62</f>
        <v>Cabo flexível 750v/70°C/nbr-6148  2,5mm²</v>
      </c>
      <c r="C70" s="23">
        <f>'Materiais de reposição'!D62</f>
        <v>50</v>
      </c>
      <c r="D70" s="23" t="str">
        <f>'Materiais de reposição'!E62</f>
        <v>m</v>
      </c>
      <c r="E70" s="495">
        <f>'Materiais de reposição'!F62</f>
        <v>2.77</v>
      </c>
      <c r="F70" s="495">
        <f>'Materiais de reposição'!G62</f>
        <v>138.5</v>
      </c>
      <c r="G70" s="65"/>
    </row>
    <row r="71" spans="1:7" s="435" customFormat="1">
      <c r="A71" s="494" t="str">
        <f>'Materiais de reposição'!A63</f>
        <v>18.60</v>
      </c>
      <c r="B71" s="433" t="str">
        <f>'Materiais de reposição'!C63</f>
        <v>Cabo flexível 750v/70°C/nbr-6148  4,0mm²</v>
      </c>
      <c r="C71" s="23">
        <f>'Materiais de reposição'!D63</f>
        <v>100</v>
      </c>
      <c r="D71" s="23" t="str">
        <f>'Materiais de reposição'!E63</f>
        <v>m</v>
      </c>
      <c r="E71" s="495">
        <f>'Materiais de reposição'!F63</f>
        <v>4.5999999999999996</v>
      </c>
      <c r="F71" s="495">
        <f>'Materiais de reposição'!G63</f>
        <v>460</v>
      </c>
      <c r="G71" s="65"/>
    </row>
    <row r="72" spans="1:7" s="435" customFormat="1">
      <c r="A72" s="494" t="str">
        <f>'Materiais de reposição'!A64</f>
        <v>18.61</v>
      </c>
      <c r="B72" s="433" t="str">
        <f>'Materiais de reposição'!C64</f>
        <v>Cabo PP 750v/70°C/nbr-7288 3x1,5mm²</v>
      </c>
      <c r="C72" s="23">
        <f>'Materiais de reposição'!D64</f>
        <v>30</v>
      </c>
      <c r="D72" s="23" t="str">
        <f>'Materiais de reposição'!E64</f>
        <v>m</v>
      </c>
      <c r="E72" s="495">
        <f>'Materiais de reposição'!F64</f>
        <v>6.98</v>
      </c>
      <c r="F72" s="495">
        <f>'Materiais de reposição'!G64</f>
        <v>209.4</v>
      </c>
      <c r="G72" s="65"/>
    </row>
    <row r="73" spans="1:7" s="435" customFormat="1">
      <c r="A73" s="494" t="str">
        <f>'Materiais de reposição'!A65</f>
        <v>18.62</v>
      </c>
      <c r="B73" s="433" t="str">
        <f>'Materiais de reposição'!C65</f>
        <v>Cabo PP 750V/70º C/NBR 13249 3 x 4.0mm² PRYSMIAN</v>
      </c>
      <c r="C73" s="23">
        <f>'Materiais de reposição'!D65</f>
        <v>100</v>
      </c>
      <c r="D73" s="23" t="str">
        <f>'Materiais de reposição'!E65</f>
        <v>m</v>
      </c>
      <c r="E73" s="495">
        <f>'Materiais de reposição'!F65</f>
        <v>17.3</v>
      </c>
      <c r="F73" s="495">
        <f>'Materiais de reposição'!G65</f>
        <v>1730</v>
      </c>
      <c r="G73" s="65"/>
    </row>
    <row r="74" spans="1:7" s="435" customFormat="1">
      <c r="A74" s="494" t="str">
        <f>'Materiais de reposição'!A66</f>
        <v>18.63</v>
      </c>
      <c r="B74" s="433" t="str">
        <f>'Materiais de reposição'!C66</f>
        <v>Chuveiro 5500W</v>
      </c>
      <c r="C74" s="23">
        <f>'Materiais de reposição'!D66</f>
        <v>2</v>
      </c>
      <c r="D74" s="23" t="str">
        <f>'Materiais de reposição'!E66</f>
        <v>unid</v>
      </c>
      <c r="E74" s="495">
        <f>'Materiais de reposição'!F66</f>
        <v>98.38</v>
      </c>
      <c r="F74" s="495">
        <f>'Materiais de reposição'!G66</f>
        <v>196.76</v>
      </c>
      <c r="G74" s="65"/>
    </row>
    <row r="75" spans="1:7" s="435" customFormat="1">
      <c r="A75" s="494" t="str">
        <f>'Materiais de reposição'!A67</f>
        <v>18.64</v>
      </c>
      <c r="B75" s="433" t="str">
        <f>'Materiais de reposição'!C67</f>
        <v>Dipsositivo de proteção residual - DR Bipolar - 220V - 40A</v>
      </c>
      <c r="C75" s="23">
        <f>'Materiais de reposição'!D67</f>
        <v>1</v>
      </c>
      <c r="D75" s="23" t="str">
        <f>'Materiais de reposição'!E67</f>
        <v>unid</v>
      </c>
      <c r="E75" s="495">
        <f>'Materiais de reposição'!F67</f>
        <v>267.82</v>
      </c>
      <c r="F75" s="495">
        <f>'Materiais de reposição'!G67</f>
        <v>267.82</v>
      </c>
      <c r="G75" s="65"/>
    </row>
    <row r="76" spans="1:7" s="435" customFormat="1">
      <c r="A76" s="494" t="str">
        <f>'Materiais de reposição'!A68</f>
        <v>18.65</v>
      </c>
      <c r="B76" s="433" t="str">
        <f>'Materiais de reposição'!C68</f>
        <v>Dipsositivo de proteção residual - DR Bipolar - 220V - 63A</v>
      </c>
      <c r="C76" s="23">
        <f>'Materiais de reposição'!D68</f>
        <v>1</v>
      </c>
      <c r="D76" s="23" t="str">
        <f>'Materiais de reposição'!E68</f>
        <v>unid</v>
      </c>
      <c r="E76" s="495">
        <f>'Materiais de reposição'!F68</f>
        <v>269.42</v>
      </c>
      <c r="F76" s="495">
        <f>'Materiais de reposição'!G68</f>
        <v>269.42</v>
      </c>
      <c r="G76" s="65"/>
    </row>
    <row r="77" spans="1:7" s="435" customFormat="1">
      <c r="A77" s="494" t="str">
        <f>'Materiais de reposição'!A69</f>
        <v>18.66</v>
      </c>
      <c r="B77" s="433" t="str">
        <f>'Materiais de reposição'!C69</f>
        <v>Disjuntor SIEMENS DIN 20A</v>
      </c>
      <c r="C77" s="23">
        <f>'Materiais de reposição'!D69</f>
        <v>2</v>
      </c>
      <c r="D77" s="23" t="str">
        <f>'Materiais de reposição'!E69</f>
        <v>unid</v>
      </c>
      <c r="E77" s="495">
        <f>'Materiais de reposição'!F69</f>
        <v>18.239999999999998</v>
      </c>
      <c r="F77" s="495">
        <f>'Materiais de reposição'!G69</f>
        <v>36.479999999999997</v>
      </c>
      <c r="G77" s="65"/>
    </row>
    <row r="78" spans="1:7" s="435" customFormat="1">
      <c r="A78" s="494" t="str">
        <f>'Materiais de reposição'!A70</f>
        <v>18.67</v>
      </c>
      <c r="B78" s="433" t="str">
        <f>'Materiais de reposição'!C70</f>
        <v>Disjuntor SIEMENS DIN 40A</v>
      </c>
      <c r="C78" s="23">
        <f>'Materiais de reposição'!D70</f>
        <v>2</v>
      </c>
      <c r="D78" s="23" t="str">
        <f>'Materiais de reposição'!E70</f>
        <v>unid</v>
      </c>
      <c r="E78" s="495">
        <f>'Materiais de reposição'!F70</f>
        <v>30.6</v>
      </c>
      <c r="F78" s="495">
        <f>'Materiais de reposição'!G70</f>
        <v>61.2</v>
      </c>
      <c r="G78" s="65"/>
    </row>
    <row r="79" spans="1:7" s="435" customFormat="1">
      <c r="A79" s="494" t="str">
        <f>'Materiais de reposição'!A71</f>
        <v>18.68</v>
      </c>
      <c r="B79" s="433" t="str">
        <f>'Materiais de reposição'!C71</f>
        <v xml:space="preserve">Disjuntor Tripolar 100A </v>
      </c>
      <c r="C79" s="23">
        <f>'Materiais de reposição'!D71</f>
        <v>1</v>
      </c>
      <c r="D79" s="23" t="str">
        <f>'Materiais de reposição'!E71</f>
        <v>unid</v>
      </c>
      <c r="E79" s="495">
        <f>'Materiais de reposição'!F71</f>
        <v>172.51</v>
      </c>
      <c r="F79" s="495">
        <f>'Materiais de reposição'!G71</f>
        <v>172.51</v>
      </c>
      <c r="G79" s="65"/>
    </row>
    <row r="80" spans="1:7" s="435" customFormat="1">
      <c r="A80" s="494" t="str">
        <f>'Materiais de reposição'!A72</f>
        <v>18.69</v>
      </c>
      <c r="B80" s="433" t="str">
        <f>'Materiais de reposição'!C72</f>
        <v>Interruptor de embutir 10A, 250V, 1-S, com placa, Fame</v>
      </c>
      <c r="C80" s="23">
        <f>'Materiais de reposição'!D72</f>
        <v>2</v>
      </c>
      <c r="D80" s="23" t="str">
        <f>'Materiais de reposição'!E72</f>
        <v>unid</v>
      </c>
      <c r="E80" s="495">
        <f>'Materiais de reposição'!F72</f>
        <v>21.9</v>
      </c>
      <c r="F80" s="495">
        <f>'Materiais de reposição'!G72</f>
        <v>43.8</v>
      </c>
      <c r="G80" s="65"/>
    </row>
    <row r="81" spans="1:7" s="435" customFormat="1">
      <c r="A81" s="494" t="str">
        <f>'Materiais de reposição'!A73</f>
        <v>18.70</v>
      </c>
      <c r="B81" s="433" t="str">
        <f>'Materiais de reposição'!C73</f>
        <v>Interruptor de embutir 10A, 250V, 2-SS, com placa, Fame</v>
      </c>
      <c r="C81" s="23">
        <f>'Materiais de reposição'!D73</f>
        <v>2</v>
      </c>
      <c r="D81" s="23" t="str">
        <f>'Materiais de reposição'!E73</f>
        <v>unid</v>
      </c>
      <c r="E81" s="495">
        <f>'Materiais de reposição'!F73</f>
        <v>36.72</v>
      </c>
      <c r="F81" s="495">
        <f>'Materiais de reposição'!G73</f>
        <v>73.44</v>
      </c>
      <c r="G81" s="65"/>
    </row>
    <row r="82" spans="1:7" s="435" customFormat="1">
      <c r="A82" s="494" t="str">
        <f>'Materiais de reposição'!A74</f>
        <v>18.71</v>
      </c>
      <c r="B82" s="433" t="str">
        <f>'Materiais de reposição'!C74</f>
        <v>Tomada 2P+T de embutir ou sobrepor 10A ref. Pial ou equivalente</v>
      </c>
      <c r="C82" s="23">
        <f>'Materiais de reposição'!D74</f>
        <v>3</v>
      </c>
      <c r="D82" s="23" t="str">
        <f>'Materiais de reposição'!E74</f>
        <v>unid</v>
      </c>
      <c r="E82" s="495">
        <f>'Materiais de reposição'!F74</f>
        <v>11.83</v>
      </c>
      <c r="F82" s="495">
        <f>'Materiais de reposição'!G74</f>
        <v>35.49</v>
      </c>
      <c r="G82" s="65"/>
    </row>
    <row r="83" spans="1:7" s="435" customFormat="1">
      <c r="A83" s="494" t="str">
        <f>'Materiais de reposição'!A75</f>
        <v>18.72</v>
      </c>
      <c r="B83" s="433" t="str">
        <f>'Materiais de reposição'!C75</f>
        <v>Tomada 2P+T de embutir ou sobrepor 20A ref. Pial ou eequivalente</v>
      </c>
      <c r="C83" s="23">
        <f>'Materiais de reposição'!D75</f>
        <v>3</v>
      </c>
      <c r="D83" s="23" t="str">
        <f>'Materiais de reposição'!E75</f>
        <v>unid</v>
      </c>
      <c r="E83" s="495">
        <f>'Materiais de reposição'!F75</f>
        <v>15.13</v>
      </c>
      <c r="F83" s="495">
        <f>'Materiais de reposição'!G75</f>
        <v>45.39</v>
      </c>
      <c r="G83" s="65"/>
    </row>
    <row r="84" spans="1:7" s="435" customFormat="1">
      <c r="A84" s="494" t="str">
        <f>'Materiais de reposição'!A76</f>
        <v>18.73</v>
      </c>
      <c r="B84" s="433" t="str">
        <f>'Materiais de reposição'!C76</f>
        <v>Contator ABB EN20-20N 24V</v>
      </c>
      <c r="C84" s="23">
        <f>'Materiais de reposição'!D76</f>
        <v>10</v>
      </c>
      <c r="D84" s="23" t="str">
        <f>'Materiais de reposição'!E76</f>
        <v>unid</v>
      </c>
      <c r="E84" s="495">
        <f>'Materiais de reposição'!F76</f>
        <v>160</v>
      </c>
      <c r="F84" s="495">
        <f>'Materiais de reposição'!G76</f>
        <v>1600</v>
      </c>
      <c r="G84" s="65"/>
    </row>
    <row r="85" spans="1:7" s="435" customFormat="1">
      <c r="A85" s="494" t="str">
        <f>'Materiais de reposição'!A77</f>
        <v>18.74</v>
      </c>
      <c r="B85" s="433" t="str">
        <f>'Materiais de reposição'!C77</f>
        <v>Gás GLP - P45</v>
      </c>
      <c r="C85" s="23">
        <f>'Materiais de reposição'!D77</f>
        <v>2</v>
      </c>
      <c r="D85" s="23" t="str">
        <f>'Materiais de reposição'!E77</f>
        <v>unid</v>
      </c>
      <c r="E85" s="495">
        <f>'Materiais de reposição'!F77</f>
        <v>357.75</v>
      </c>
      <c r="F85" s="495">
        <f>'Materiais de reposição'!G77</f>
        <v>715.5</v>
      </c>
      <c r="G85" s="65"/>
    </row>
    <row r="86" spans="1:7" s="435" customFormat="1">
      <c r="A86" s="494" t="str">
        <f>'Materiais de reposição'!A78</f>
        <v>18.75</v>
      </c>
      <c r="B86" s="433" t="str">
        <f>'Materiais de reposição'!C78</f>
        <v>Oleo diesel S-500 ou S-10</v>
      </c>
      <c r="C86" s="23">
        <f>'Materiais de reposição'!D78</f>
        <v>300</v>
      </c>
      <c r="D86" s="23" t="str">
        <f>'Materiais de reposição'!E78</f>
        <v>l</v>
      </c>
      <c r="E86" s="495">
        <f>'Materiais de reposição'!F78</f>
        <v>5.97</v>
      </c>
      <c r="F86" s="495">
        <f>'Materiais de reposição'!G78</f>
        <v>1791</v>
      </c>
      <c r="G86" s="65"/>
    </row>
    <row r="87" spans="1:7" s="435" customFormat="1">
      <c r="A87" s="494" t="str">
        <f>'Materiais de reposição'!A79</f>
        <v>18.76</v>
      </c>
      <c r="B87" s="433" t="str">
        <f>'Materiais de reposição'!C79</f>
        <v>Fechadura eletronica, smart lock, digital</v>
      </c>
      <c r="C87" s="23">
        <f>'Materiais de reposição'!D79</f>
        <v>1</v>
      </c>
      <c r="D87" s="23" t="str">
        <f>'Materiais de reposição'!E79</f>
        <v>unid</v>
      </c>
      <c r="E87" s="495">
        <f>'Materiais de reposição'!F79</f>
        <v>384.33</v>
      </c>
      <c r="F87" s="495">
        <f>'Materiais de reposição'!G79</f>
        <v>384.33</v>
      </c>
      <c r="G87" s="65"/>
    </row>
    <row r="88" spans="1:7" s="435" customFormat="1">
      <c r="A88" s="494" t="str">
        <f>'Materiais de reposição'!A80</f>
        <v>18.77</v>
      </c>
      <c r="B88" s="433" t="str">
        <f>'Materiais de reposição'!C80</f>
        <v>Fita antiderrapante preta rolo 5m</v>
      </c>
      <c r="C88" s="23">
        <f>'Materiais de reposição'!D80</f>
        <v>20</v>
      </c>
      <c r="D88" s="23" t="str">
        <f>'Materiais de reposição'!E80</f>
        <v>m</v>
      </c>
      <c r="E88" s="495">
        <f>'Materiais de reposição'!F80</f>
        <v>59.49</v>
      </c>
      <c r="F88" s="495">
        <f>'Materiais de reposição'!G80</f>
        <v>1189.8</v>
      </c>
      <c r="G88" s="65"/>
    </row>
    <row r="89" spans="1:7" s="435" customFormat="1">
      <c r="A89" s="494" t="str">
        <f>'Materiais de reposição'!A81</f>
        <v>18.78</v>
      </c>
      <c r="B89" s="433" t="str">
        <f>'Materiais de reposição'!C81</f>
        <v>Quadro de vidro temperado 2m x 1m</v>
      </c>
      <c r="C89" s="23">
        <f>'Materiais de reposição'!D81</f>
        <v>2</v>
      </c>
      <c r="D89" s="23" t="str">
        <f>'Materiais de reposição'!E81</f>
        <v>unid</v>
      </c>
      <c r="E89" s="495">
        <f>'Materiais de reposição'!F81</f>
        <v>611.58000000000004</v>
      </c>
      <c r="F89" s="495">
        <f>'Materiais de reposição'!G81</f>
        <v>1223.1600000000001</v>
      </c>
      <c r="G89" s="65"/>
    </row>
    <row r="90" spans="1:7" s="435" customFormat="1">
      <c r="A90" s="494" t="str">
        <f>'Materiais de reposição'!A82</f>
        <v>18.79</v>
      </c>
      <c r="B90" s="433" t="str">
        <f>'Materiais de reposição'!C82</f>
        <v xml:space="preserve">Capacitores de partida (capacitor Suryha 50?f ±5% 380v e capacitor Suryha 5?f ±5% 380v) </v>
      </c>
      <c r="C90" s="23">
        <f>'Materiais de reposição'!D82</f>
        <v>40</v>
      </c>
      <c r="D90" s="23" t="str">
        <f>'Materiais de reposição'!E82</f>
        <v xml:space="preserve">unid. </v>
      </c>
      <c r="E90" s="495">
        <f>'Materiais de reposição'!F82</f>
        <v>23.42</v>
      </c>
      <c r="F90" s="495">
        <f>'Materiais de reposição'!G82</f>
        <v>936.8</v>
      </c>
      <c r="G90" s="65"/>
    </row>
    <row r="91" spans="1:7" s="435" customFormat="1">
      <c r="A91" s="494" t="str">
        <f>'Materiais de reposição'!A83</f>
        <v>18.80</v>
      </c>
      <c r="B91" s="433" t="str">
        <f>'Materiais de reposição'!C83</f>
        <v xml:space="preserve">Gás R22 cilindro de 13,620 kg </v>
      </c>
      <c r="C91" s="23">
        <f>'Materiais de reposição'!D83</f>
        <v>5</v>
      </c>
      <c r="D91" s="23" t="str">
        <f>'Materiais de reposição'!E83</f>
        <v xml:space="preserve">unid. </v>
      </c>
      <c r="E91" s="495">
        <f>'Materiais de reposição'!F83</f>
        <v>848.33</v>
      </c>
      <c r="F91" s="495">
        <f>'Materiais de reposição'!G83</f>
        <v>4241.6499999999996</v>
      </c>
      <c r="G91" s="65"/>
    </row>
    <row r="92" spans="1:7" s="435" customFormat="1">
      <c r="A92" s="494" t="str">
        <f>'Materiais de reposição'!A84</f>
        <v>18.81</v>
      </c>
      <c r="B92" s="433" t="str">
        <f>'Materiais de reposição'!C84</f>
        <v>Gás R410A cilindro 13,62</v>
      </c>
      <c r="C92" s="23">
        <f>'Materiais de reposição'!D84</f>
        <v>20</v>
      </c>
      <c r="D92" s="23" t="str">
        <f>'Materiais de reposição'!E84</f>
        <v xml:space="preserve">unid. </v>
      </c>
      <c r="E92" s="495">
        <f>'Materiais de reposição'!F84</f>
        <v>655.88</v>
      </c>
      <c r="F92" s="495">
        <f>'Materiais de reposição'!G84</f>
        <v>13117.6</v>
      </c>
      <c r="G92" s="65"/>
    </row>
    <row r="93" spans="1:7" s="435" customFormat="1" ht="15" customHeight="1">
      <c r="A93" s="494" t="str">
        <f>'Materiais de reposição'!A85</f>
        <v>18.82</v>
      </c>
      <c r="B93" s="433" t="str">
        <f>'Materiais de reposição'!C85</f>
        <v xml:space="preserve">Manta filtrante G3 </v>
      </c>
      <c r="C93" s="23">
        <f>'Materiais de reposição'!D85</f>
        <v>15</v>
      </c>
      <c r="D93" s="23" t="str">
        <f>'Materiais de reposição'!E85</f>
        <v>m²</v>
      </c>
      <c r="E93" s="495">
        <f>'Materiais de reposição'!F85</f>
        <v>32.479999999999997</v>
      </c>
      <c r="F93" s="495">
        <f>'Materiais de reposição'!G85</f>
        <v>487.2</v>
      </c>
      <c r="G93" s="65"/>
    </row>
    <row r="94" spans="1:7" s="435" customFormat="1" ht="15" customHeight="1">
      <c r="A94" s="494" t="str">
        <f>'Materiais de reposição'!A86</f>
        <v>18.83</v>
      </c>
      <c r="B94" s="433" t="str">
        <f>'Materiais de reposição'!C86</f>
        <v xml:space="preserve">Luvas de cobre até 1,5” </v>
      </c>
      <c r="C94" s="23">
        <f>'Materiais de reposição'!D86</f>
        <v>15</v>
      </c>
      <c r="D94" s="23" t="str">
        <f>'Materiais de reposição'!E86</f>
        <v>Unid.</v>
      </c>
      <c r="E94" s="495">
        <f>'Materiais de reposição'!F86</f>
        <v>19.87</v>
      </c>
      <c r="F94" s="495">
        <f>'Materiais de reposição'!G86</f>
        <v>298.05</v>
      </c>
      <c r="G94" s="510"/>
    </row>
    <row r="95" spans="1:7" s="435" customFormat="1" ht="15" customHeight="1">
      <c r="A95" s="494" t="str">
        <f>'Materiais de reposição'!A87</f>
        <v>18.84</v>
      </c>
      <c r="B95" s="433" t="str">
        <f>'Materiais de reposição'!C87</f>
        <v>Rolamento 6203 ou 6206 ou 6205 ZC3 ou 6204 ZC3</v>
      </c>
      <c r="C95" s="23">
        <f>'Materiais de reposição'!D87</f>
        <v>120</v>
      </c>
      <c r="D95" s="23" t="str">
        <f>'Materiais de reposição'!E87</f>
        <v xml:space="preserve">unid. </v>
      </c>
      <c r="E95" s="495">
        <f>'Materiais de reposição'!F87</f>
        <v>17.79</v>
      </c>
      <c r="F95" s="495">
        <f>'Materiais de reposição'!G87</f>
        <v>2134.8000000000002</v>
      </c>
      <c r="G95" s="510"/>
    </row>
    <row r="96" spans="1:7" s="435" customFormat="1" ht="15" customHeight="1">
      <c r="A96" s="494" t="str">
        <f>'Materiais de reposição'!A88</f>
        <v>18.85</v>
      </c>
      <c r="B96" s="433" t="str">
        <f>'Materiais de reposição'!C88</f>
        <v xml:space="preserve">Tubo de cobre 1/4" </v>
      </c>
      <c r="C96" s="23">
        <f>'Materiais de reposição'!D88</f>
        <v>25</v>
      </c>
      <c r="D96" s="23" t="str">
        <f>'Materiais de reposição'!E88</f>
        <v xml:space="preserve">m </v>
      </c>
      <c r="E96" s="495">
        <f>'Materiais de reposição'!F88</f>
        <v>34.83</v>
      </c>
      <c r="F96" s="495">
        <f>'Materiais de reposição'!G88</f>
        <v>870.75</v>
      </c>
      <c r="G96" s="510"/>
    </row>
    <row r="97" spans="1:7" s="435" customFormat="1" ht="15" customHeight="1">
      <c r="A97" s="494" t="str">
        <f>'Materiais de reposição'!A89</f>
        <v>18.86</v>
      </c>
      <c r="B97" s="433" t="str">
        <f>'Materiais de reposição'!C89</f>
        <v xml:space="preserve">Tubo de cobre 1/2" </v>
      </c>
      <c r="C97" s="23">
        <f>'Materiais de reposição'!D89</f>
        <v>25</v>
      </c>
      <c r="D97" s="23" t="str">
        <f>'Materiais de reposição'!E89</f>
        <v xml:space="preserve">m </v>
      </c>
      <c r="E97" s="495">
        <f>'Materiais de reposição'!F89</f>
        <v>72.680000000000007</v>
      </c>
      <c r="F97" s="495">
        <f>'Materiais de reposição'!G89</f>
        <v>1817</v>
      </c>
      <c r="G97" s="510"/>
    </row>
    <row r="98" spans="1:7" s="435" customFormat="1" ht="15" customHeight="1">
      <c r="A98" s="494" t="str">
        <f>'Materiais de reposição'!A90</f>
        <v>18.87</v>
      </c>
      <c r="B98" s="433" t="str">
        <f>'Materiais de reposição'!C90</f>
        <v>Tubo de cobre 5/8</v>
      </c>
      <c r="C98" s="23">
        <f>'Materiais de reposição'!D90</f>
        <v>25</v>
      </c>
      <c r="D98" s="23" t="str">
        <f>'Materiais de reposição'!E90</f>
        <v xml:space="preserve">m </v>
      </c>
      <c r="E98" s="495">
        <f>'Materiais de reposição'!F90</f>
        <v>90.4</v>
      </c>
      <c r="F98" s="495">
        <f>'Materiais de reposição'!G90</f>
        <v>2260</v>
      </c>
      <c r="G98" s="510"/>
    </row>
    <row r="99" spans="1:7" s="435" customFormat="1" ht="15" customHeight="1">
      <c r="A99" s="494" t="str">
        <f>'Materiais de reposição'!A91</f>
        <v>18.88</v>
      </c>
      <c r="B99" s="433" t="str">
        <f>'Materiais de reposição'!C91</f>
        <v>Tubo de cobre 3/8</v>
      </c>
      <c r="C99" s="23">
        <f>'Materiais de reposição'!D91</f>
        <v>25</v>
      </c>
      <c r="D99" s="23" t="str">
        <f>'Materiais de reposição'!E91</f>
        <v xml:space="preserve">m </v>
      </c>
      <c r="E99" s="495">
        <f>'Materiais de reposição'!F91</f>
        <v>53.58</v>
      </c>
      <c r="F99" s="495">
        <f>'Materiais de reposição'!G91</f>
        <v>1339.5</v>
      </c>
      <c r="G99" s="510"/>
    </row>
    <row r="100" spans="1:7" s="435" customFormat="1" ht="15" customHeight="1">
      <c r="A100" s="494" t="str">
        <f>'Materiais de reposição'!A92</f>
        <v>18.89</v>
      </c>
      <c r="B100" s="433" t="str">
        <f>'Materiais de reposição'!C92</f>
        <v>Tubo de cobre 3/4</v>
      </c>
      <c r="C100" s="23">
        <f>'Materiais de reposição'!D92</f>
        <v>25</v>
      </c>
      <c r="D100" s="23" t="str">
        <f>'Materiais de reposição'!E92</f>
        <v xml:space="preserve">m </v>
      </c>
      <c r="E100" s="495">
        <f>'Materiais de reposição'!F92</f>
        <v>109.33</v>
      </c>
      <c r="F100" s="495">
        <f>'Materiais de reposição'!G92</f>
        <v>2733.25</v>
      </c>
      <c r="G100" s="510"/>
    </row>
    <row r="101" spans="1:7" s="435" customFormat="1" ht="15" customHeight="1">
      <c r="A101" s="494" t="str">
        <f>'Materiais de reposição'!A93</f>
        <v>18.90</v>
      </c>
      <c r="B101" s="433" t="str">
        <f>'Materiais de reposição'!C93</f>
        <v>Controle remoto Sem fio  (PCLH3A)</v>
      </c>
      <c r="C101" s="23">
        <f>'Materiais de reposição'!D93</f>
        <v>7</v>
      </c>
      <c r="D101" s="23" t="str">
        <f>'Materiais de reposição'!E93</f>
        <v xml:space="preserve">unid. </v>
      </c>
      <c r="E101" s="495">
        <f>'Materiais de reposição'!F93</f>
        <v>106.97</v>
      </c>
      <c r="F101" s="495">
        <f>'Materiais de reposição'!G93</f>
        <v>748.79</v>
      </c>
      <c r="G101" s="510"/>
    </row>
    <row r="102" spans="1:7" s="435" customFormat="1" ht="15" customHeight="1">
      <c r="A102" s="494" t="str">
        <f>'Materiais de reposição'!A94</f>
        <v>18.91</v>
      </c>
      <c r="B102" s="433" t="str">
        <f>'Materiais de reposição'!C94</f>
        <v>Filtros de ar (KPI) (HLD30457A)</v>
      </c>
      <c r="C102" s="23">
        <f>'Materiais de reposição'!D94</f>
        <v>350</v>
      </c>
      <c r="D102" s="23" t="str">
        <f>'Materiais de reposição'!E94</f>
        <v xml:space="preserve">unid. </v>
      </c>
      <c r="E102" s="495">
        <f>'Materiais de reposição'!F94</f>
        <v>148.51</v>
      </c>
      <c r="F102" s="495">
        <f>'Materiais de reposição'!G94</f>
        <v>51978.5</v>
      </c>
      <c r="G102" s="510"/>
    </row>
    <row r="103" spans="1:7" s="435" customFormat="1" ht="15" customHeight="1">
      <c r="A103" s="494" t="str">
        <f>'Materiais de reposição'!A95</f>
        <v>18.92</v>
      </c>
      <c r="B103" s="433" t="str">
        <f>'Materiais de reposição'!C95</f>
        <v>CJ Bomba Dreno (17B30151A)</v>
      </c>
      <c r="C103" s="23">
        <f>'Materiais de reposição'!D95</f>
        <v>4</v>
      </c>
      <c r="D103" s="23" t="str">
        <f>'Materiais de reposição'!E95</f>
        <v xml:space="preserve">unid. </v>
      </c>
      <c r="E103" s="495">
        <f>'Materiais de reposição'!F95</f>
        <v>631.20000000000005</v>
      </c>
      <c r="F103" s="495">
        <f>'Materiais de reposição'!G95</f>
        <v>2524.8000000000002</v>
      </c>
      <c r="G103" s="510"/>
    </row>
    <row r="104" spans="1:7" s="435" customFormat="1" ht="15" customHeight="1">
      <c r="A104" s="494" t="str">
        <f>'Materiais de reposição'!A96</f>
        <v>18.93</v>
      </c>
      <c r="B104" s="433" t="str">
        <f>'Materiais de reposição'!C96</f>
        <v>Duto Flexível 10" aluminizado - rolo 10m</v>
      </c>
      <c r="C104" s="23">
        <f>'Materiais de reposição'!D96</f>
        <v>2</v>
      </c>
      <c r="D104" s="23" t="str">
        <f>'Materiais de reposição'!E96</f>
        <v>m</v>
      </c>
      <c r="E104" s="495">
        <f>'Materiais de reposição'!F96</f>
        <v>187.13</v>
      </c>
      <c r="F104" s="495">
        <f>'Materiais de reposição'!G96</f>
        <v>374.26</v>
      </c>
      <c r="G104" s="510"/>
    </row>
    <row r="105" spans="1:7" s="435" customFormat="1" ht="15" customHeight="1">
      <c r="A105" s="494" t="str">
        <f>'Materiais de reposição'!A97</f>
        <v>18.94</v>
      </c>
      <c r="B105" s="433" t="str">
        <f>'Materiais de reposição'!C97</f>
        <v xml:space="preserve">Serviço de rebobinamento de motores elétricos </v>
      </c>
      <c r="C105" s="23">
        <f>'Materiais de reposição'!D97</f>
        <v>5</v>
      </c>
      <c r="D105" s="23" t="str">
        <f>'Materiais de reposição'!E97</f>
        <v>sv</v>
      </c>
      <c r="E105" s="495">
        <f>'Materiais de reposição'!F97</f>
        <v>1281.97</v>
      </c>
      <c r="F105" s="495">
        <f>'Materiais de reposição'!G97</f>
        <v>6409.85</v>
      </c>
      <c r="G105" s="510"/>
    </row>
    <row r="106" spans="1:7" s="435" customFormat="1" ht="15" customHeight="1">
      <c r="A106" s="494" t="str">
        <f>'Materiais de reposição'!A98</f>
        <v>18.95</v>
      </c>
      <c r="B106" s="433" t="str">
        <f>'Materiais de reposição'!C98</f>
        <v>Compressor rotativo hitachi 24000 btu 220V</v>
      </c>
      <c r="C106" s="23">
        <f>'Materiais de reposição'!D98</f>
        <v>10</v>
      </c>
      <c r="D106" s="23" t="str">
        <f>'Materiais de reposição'!E98</f>
        <v>unid</v>
      </c>
      <c r="E106" s="495">
        <f>'Materiais de reposição'!F98</f>
        <v>856.98</v>
      </c>
      <c r="F106" s="495">
        <f>'Materiais de reposição'!G98</f>
        <v>8569.7999999999993</v>
      </c>
      <c r="G106" s="510"/>
    </row>
    <row r="107" spans="1:7" s="435" customFormat="1" ht="15" customHeight="1">
      <c r="A107" s="494" t="str">
        <f>'Materiais de reposição'!A99</f>
        <v>18.96</v>
      </c>
      <c r="B107" s="433" t="str">
        <f>'Materiais de reposição'!C99</f>
        <v xml:space="preserve">Suporte p/ palco C/ Rodízios Para TV 27 À 55 Pol </v>
      </c>
      <c r="C107" s="23">
        <f>'Materiais de reposição'!D99</f>
        <v>2</v>
      </c>
      <c r="D107" s="23" t="str">
        <f>'Materiais de reposição'!E99</f>
        <v>unid</v>
      </c>
      <c r="E107" s="495">
        <f>'Materiais de reposição'!F99</f>
        <v>544.87</v>
      </c>
      <c r="F107" s="495">
        <f>'Materiais de reposição'!G99</f>
        <v>1089.74</v>
      </c>
      <c r="G107" s="510"/>
    </row>
    <row r="108" spans="1:7" s="435" customFormat="1" ht="15" customHeight="1">
      <c r="A108" s="494" t="str">
        <f>'Materiais de reposição'!A100</f>
        <v>18.97</v>
      </c>
      <c r="B108" s="433" t="str">
        <f>'Materiais de reposição'!C100</f>
        <v xml:space="preserve">Suporte De Chão C/ Rodízios Para TV 27 À 55 Pol </v>
      </c>
      <c r="C108" s="23">
        <f>'Materiais de reposição'!D100</f>
        <v>4</v>
      </c>
      <c r="D108" s="23" t="str">
        <f>'Materiais de reposição'!E100</f>
        <v>unid</v>
      </c>
      <c r="E108" s="495">
        <f>'Materiais de reposição'!F100</f>
        <v>688.67</v>
      </c>
      <c r="F108" s="495">
        <f>'Materiais de reposição'!G100</f>
        <v>2754.68</v>
      </c>
      <c r="G108" s="510"/>
    </row>
    <row r="109" spans="1:7" s="435" customFormat="1" ht="15" customHeight="1">
      <c r="A109" s="494" t="str">
        <f>'Materiais de reposição'!A101</f>
        <v>18.98</v>
      </c>
      <c r="B109" s="433" t="str">
        <f>'Materiais de reposição'!C101</f>
        <v>Suporte De Piso Para TV até 85" Pol</v>
      </c>
      <c r="C109" s="23">
        <f>'Materiais de reposição'!D101</f>
        <v>4</v>
      </c>
      <c r="D109" s="23" t="str">
        <f>'Materiais de reposição'!E101</f>
        <v>unid</v>
      </c>
      <c r="E109" s="495">
        <f>'Materiais de reposição'!F101</f>
        <v>1063.17</v>
      </c>
      <c r="F109" s="495">
        <f>'Materiais de reposição'!G101</f>
        <v>4252.68</v>
      </c>
      <c r="G109" s="510"/>
    </row>
    <row r="110" spans="1:7" s="435" customFormat="1" ht="15" customHeight="1">
      <c r="A110" s="494" t="str">
        <f>'Materiais de reposição'!A102</f>
        <v>18.99</v>
      </c>
      <c r="B110" s="433" t="str">
        <f>'Materiais de reposição'!C102</f>
        <v>Suportede Teto p/ TV de 75"</v>
      </c>
      <c r="C110" s="23">
        <f>'Materiais de reposição'!D102</f>
        <v>4</v>
      </c>
      <c r="D110" s="23" t="str">
        <f>'Materiais de reposição'!E102</f>
        <v>unid</v>
      </c>
      <c r="E110" s="495">
        <f>'Materiais de reposição'!F102</f>
        <v>484.45</v>
      </c>
      <c r="F110" s="495">
        <f>'Materiais de reposição'!G102</f>
        <v>1937.8</v>
      </c>
      <c r="G110" s="510"/>
    </row>
    <row r="111" spans="1:7" s="435" customFormat="1" ht="15" customHeight="1">
      <c r="A111" s="494" t="str">
        <f>'Materiais de reposição'!A103</f>
        <v>18.100</v>
      </c>
      <c r="B111" s="433" t="str">
        <f>'Materiais de reposição'!C103</f>
        <v>KIT SUPORTE VEGA M6 PARA VIDEOWALL TV 55"</v>
      </c>
      <c r="C111" s="23">
        <f>'Materiais de reposição'!D103</f>
        <v>1</v>
      </c>
      <c r="D111" s="23" t="str">
        <f>'Materiais de reposição'!E103</f>
        <v>unid</v>
      </c>
      <c r="E111" s="495">
        <f>'Materiais de reposição'!F103</f>
        <v>473.24</v>
      </c>
      <c r="F111" s="495">
        <f>'Materiais de reposição'!G103</f>
        <v>473.24</v>
      </c>
      <c r="G111" s="510"/>
    </row>
    <row r="112" spans="1:7" s="435" customFormat="1" ht="15" customHeight="1">
      <c r="A112" s="494" t="str">
        <f>'Materiais de reposição'!A104</f>
        <v>18.101</v>
      </c>
      <c r="B112" s="433" t="str">
        <f>'Materiais de reposição'!C104</f>
        <v>CABO DISPLAY PORT 2.0 3D 4K 2M OU SIMILAR</v>
      </c>
      <c r="C112" s="23">
        <f>'Materiais de reposição'!D104</f>
        <v>5</v>
      </c>
      <c r="D112" s="23" t="str">
        <f>'Materiais de reposição'!E104</f>
        <v>unid</v>
      </c>
      <c r="E112" s="495">
        <f>'Materiais de reposição'!F104</f>
        <v>47.42</v>
      </c>
      <c r="F112" s="495">
        <f>'Materiais de reposição'!G104</f>
        <v>237.1</v>
      </c>
      <c r="G112" s="510"/>
    </row>
    <row r="113" spans="1:7" s="435" customFormat="1" ht="15" customHeight="1">
      <c r="A113" s="494" t="str">
        <f>'Materiais de reposição'!A105</f>
        <v>18.102</v>
      </c>
      <c r="B113" s="433" t="str">
        <f>'Materiais de reposição'!C105</f>
        <v>CABO HDMI 2.0 3D 4K 3M OU SIMILAR</v>
      </c>
      <c r="C113" s="23">
        <f>'Materiais de reposição'!D105</f>
        <v>10</v>
      </c>
      <c r="D113" s="23" t="str">
        <f>'Materiais de reposição'!E105</f>
        <v>unid</v>
      </c>
      <c r="E113" s="495">
        <f>'Materiais de reposição'!F105</f>
        <v>56.27</v>
      </c>
      <c r="F113" s="495">
        <f>'Materiais de reposição'!G105</f>
        <v>562.70000000000005</v>
      </c>
      <c r="G113" s="510"/>
    </row>
    <row r="114" spans="1:7" s="435" customFormat="1" ht="15" customHeight="1">
      <c r="A114" s="494" t="str">
        <f>'Materiais de reposição'!A106</f>
        <v>18.103</v>
      </c>
      <c r="B114" s="433" t="str">
        <f>'Materiais de reposição'!C106</f>
        <v>CABO HDMI 2.0 3D 4K 5M OU SIMILAR</v>
      </c>
      <c r="C114" s="23">
        <f>'Materiais de reposição'!D106</f>
        <v>5</v>
      </c>
      <c r="D114" s="23" t="str">
        <f>'Materiais de reposição'!E106</f>
        <v>unid</v>
      </c>
      <c r="E114" s="495">
        <f>'Materiais de reposição'!F106</f>
        <v>74.959999999999994</v>
      </c>
      <c r="F114" s="495">
        <f>'Materiais de reposição'!G106</f>
        <v>374.8</v>
      </c>
      <c r="G114" s="510"/>
    </row>
    <row r="115" spans="1:7" s="435" customFormat="1" ht="15" customHeight="1">
      <c r="A115" s="494" t="str">
        <f>'Materiais de reposição'!A107</f>
        <v>18.104</v>
      </c>
      <c r="B115" s="433" t="str">
        <f>'Materiais de reposição'!C107</f>
        <v>CABO HDMI 2.0 3D 4K 10M OU SIMILAR</v>
      </c>
      <c r="C115" s="23">
        <f>'Materiais de reposição'!D107</f>
        <v>3</v>
      </c>
      <c r="D115" s="23" t="str">
        <f>'Materiais de reposição'!E107</f>
        <v>unid</v>
      </c>
      <c r="E115" s="495">
        <f>'Materiais de reposição'!F107</f>
        <v>120.18</v>
      </c>
      <c r="F115" s="495">
        <f>'Materiais de reposição'!G107</f>
        <v>360.54</v>
      </c>
      <c r="G115" s="510"/>
    </row>
    <row r="116" spans="1:7" s="435" customFormat="1" ht="15" customHeight="1">
      <c r="A116" s="494" t="str">
        <f>'Materiais de reposição'!A108</f>
        <v>18.105</v>
      </c>
      <c r="B116" s="433" t="str">
        <f>'Materiais de reposição'!C108</f>
        <v>CORREDIÇA CONTRAPESO 105961</v>
      </c>
      <c r="C116" s="23">
        <f>'Materiais de reposição'!D108</f>
        <v>1</v>
      </c>
      <c r="D116" s="23" t="str">
        <f>'Materiais de reposição'!E108</f>
        <v>unid</v>
      </c>
      <c r="E116" s="495">
        <f>'Materiais de reposição'!F108</f>
        <v>790</v>
      </c>
      <c r="F116" s="495">
        <f>'Materiais de reposição'!G108</f>
        <v>790</v>
      </c>
      <c r="G116" s="510"/>
    </row>
    <row r="117" spans="1:7" s="435" customFormat="1" ht="15" customHeight="1">
      <c r="A117" s="494" t="str">
        <f>'Materiais de reposição'!A109</f>
        <v>18.106</v>
      </c>
      <c r="B117" s="433" t="str">
        <f>'Materiais de reposição'!C109</f>
        <v>CORREDIÇA CABINA ELEVADOR 105963</v>
      </c>
      <c r="C117" s="23">
        <f>'Materiais de reposição'!D109</f>
        <v>1</v>
      </c>
      <c r="D117" s="23" t="str">
        <f>'Materiais de reposição'!E109</f>
        <v>unid</v>
      </c>
      <c r="E117" s="495">
        <f>'Materiais de reposição'!F109</f>
        <v>987</v>
      </c>
      <c r="F117" s="495">
        <f>'Materiais de reposição'!G109</f>
        <v>987</v>
      </c>
      <c r="G117" s="510"/>
    </row>
    <row r="118" spans="1:7" s="435" customFormat="1" ht="15" customHeight="1">
      <c r="A118" s="494" t="str">
        <f>'Materiais de reposição'!A110</f>
        <v>18.107</v>
      </c>
      <c r="B118" s="433" t="str">
        <f>'Materiais de reposição'!C110</f>
        <v>BATERIA REGULADA POR VÁLVULA 432789</v>
      </c>
      <c r="C118" s="23">
        <f>'Materiais de reposição'!D110</f>
        <v>1</v>
      </c>
      <c r="D118" s="23" t="str">
        <f>'Materiais de reposição'!E110</f>
        <v>unid</v>
      </c>
      <c r="E118" s="495">
        <f>'Materiais de reposição'!F110</f>
        <v>1240</v>
      </c>
      <c r="F118" s="495">
        <f>'Materiais de reposição'!G110</f>
        <v>1240</v>
      </c>
      <c r="G118" s="510"/>
    </row>
    <row r="119" spans="1:7" s="435" customFormat="1" ht="15" customHeight="1">
      <c r="A119" s="494" t="str">
        <f>'Materiais de reposição'!A111</f>
        <v>18.108</v>
      </c>
      <c r="B119" s="433" t="str">
        <f>'Materiais de reposição'!C111</f>
        <v>BATERIA REGULADA POR VÁLVULA  432791</v>
      </c>
      <c r="C119" s="23">
        <f>'Materiais de reposição'!D111</f>
        <v>1</v>
      </c>
      <c r="D119" s="23" t="str">
        <f>'Materiais de reposição'!E111</f>
        <v>unid</v>
      </c>
      <c r="E119" s="495">
        <f>'Materiais de reposição'!F111</f>
        <v>1240</v>
      </c>
      <c r="F119" s="495">
        <f>'Materiais de reposição'!G111</f>
        <v>1240</v>
      </c>
      <c r="G119" s="510"/>
    </row>
    <row r="120" spans="1:7" s="435" customFormat="1" ht="15" customHeight="1">
      <c r="A120" s="494" t="str">
        <f>'Materiais de reposição'!A112</f>
        <v>18.109</v>
      </c>
      <c r="B120" s="433" t="str">
        <f>'Materiais de reposição'!C112</f>
        <v>PLACA ELETRÔNICA ELEVADOR 560220</v>
      </c>
      <c r="C120" s="23">
        <f>'Materiais de reposição'!D112</f>
        <v>1</v>
      </c>
      <c r="D120" s="23" t="str">
        <f>'Materiais de reposição'!E112</f>
        <v>unid</v>
      </c>
      <c r="E120" s="495">
        <f>'Materiais de reposição'!F112</f>
        <v>1454.83</v>
      </c>
      <c r="F120" s="495">
        <f>'Materiais de reposição'!G112</f>
        <v>1454.83</v>
      </c>
      <c r="G120" s="510"/>
    </row>
    <row r="121" spans="1:7" s="435" customFormat="1" ht="15" customHeight="1">
      <c r="A121" s="494" t="str">
        <f>'Materiais de reposição'!A113</f>
        <v>18.110</v>
      </c>
      <c r="B121" s="433" t="str">
        <f>'Materiais de reposição'!C113</f>
        <v>PLACA ELETRÔNICA ELEVADOR 591820</v>
      </c>
      <c r="C121" s="23">
        <f>'Materiais de reposição'!D113</f>
        <v>1</v>
      </c>
      <c r="D121" s="23" t="str">
        <f>'Materiais de reposição'!E113</f>
        <v>unid</v>
      </c>
      <c r="E121" s="495">
        <f>'Materiais de reposição'!F113</f>
        <v>6988</v>
      </c>
      <c r="F121" s="495">
        <f>'Materiais de reposição'!G113</f>
        <v>6988</v>
      </c>
      <c r="G121" s="510"/>
    </row>
    <row r="122" spans="1:7" s="435" customFormat="1" ht="15" customHeight="1">
      <c r="A122" s="494" t="str">
        <f>'Materiais de reposição'!A114</f>
        <v>18.111</v>
      </c>
      <c r="B122" s="433" t="str">
        <f>'Materiais de reposição'!C114</f>
        <v>PLACA ELETRÔNICA ELEVADOR 591838</v>
      </c>
      <c r="C122" s="23">
        <f>'Materiais de reposição'!D114</f>
        <v>1</v>
      </c>
      <c r="D122" s="23" t="str">
        <f>'Materiais de reposição'!E114</f>
        <v>unid</v>
      </c>
      <c r="E122" s="495">
        <f>'Materiais de reposição'!F114</f>
        <v>7900</v>
      </c>
      <c r="F122" s="495">
        <f>'Materiais de reposição'!G114</f>
        <v>7900</v>
      </c>
      <c r="G122" s="510"/>
    </row>
    <row r="123" spans="1:7" s="435" customFormat="1" ht="15" customHeight="1">
      <c r="A123" s="494" t="str">
        <f>'Materiais de reposição'!A115</f>
        <v>18.112</v>
      </c>
      <c r="B123" s="433" t="str">
        <f>'Materiais de reposição'!C115</f>
        <v>PLACA ELETRÔNICA ELEVADOR 591843</v>
      </c>
      <c r="C123" s="23">
        <f>'Materiais de reposição'!D115</f>
        <v>1</v>
      </c>
      <c r="D123" s="23" t="str">
        <f>'Materiais de reposição'!E115</f>
        <v>unid</v>
      </c>
      <c r="E123" s="495">
        <f>'Materiais de reposição'!F115</f>
        <v>4360</v>
      </c>
      <c r="F123" s="495">
        <f>'Materiais de reposição'!G115</f>
        <v>4360</v>
      </c>
      <c r="G123" s="510"/>
    </row>
    <row r="124" spans="1:7" s="435" customFormat="1" ht="15" customHeight="1">
      <c r="A124" s="494" t="str">
        <f>'Materiais de reposição'!A116</f>
        <v>18.113</v>
      </c>
      <c r="B124" s="433" t="str">
        <f>'Materiais de reposição'!C116</f>
        <v>PLACA ELETRÔNICA ELEVADOR 591866</v>
      </c>
      <c r="C124" s="23">
        <f>'Materiais de reposição'!D116</f>
        <v>1</v>
      </c>
      <c r="D124" s="23" t="str">
        <f>'Materiais de reposição'!E116</f>
        <v>unid</v>
      </c>
      <c r="E124" s="495">
        <f>'Materiais de reposição'!F116</f>
        <v>4500</v>
      </c>
      <c r="F124" s="495">
        <f>'Materiais de reposição'!G116</f>
        <v>4500</v>
      </c>
      <c r="G124" s="510"/>
    </row>
    <row r="125" spans="1:7" s="435" customFormat="1" ht="15" customHeight="1">
      <c r="A125" s="494" t="str">
        <f>'Materiais de reposição'!A117</f>
        <v>18.114</v>
      </c>
      <c r="B125" s="433" t="str">
        <f>'Materiais de reposição'!C117</f>
        <v>PLACA ELETRÔNICA ELEVADOR 591886</v>
      </c>
      <c r="C125" s="23">
        <f>'Materiais de reposição'!D117</f>
        <v>1</v>
      </c>
      <c r="D125" s="23" t="str">
        <f>'Materiais de reposição'!E117</f>
        <v>unid</v>
      </c>
      <c r="E125" s="495">
        <f>'Materiais de reposição'!F117</f>
        <v>8960</v>
      </c>
      <c r="F125" s="495">
        <f>'Materiais de reposição'!G117</f>
        <v>8960</v>
      </c>
      <c r="G125" s="510"/>
    </row>
    <row r="126" spans="1:7" s="435" customFormat="1" ht="15" customHeight="1">
      <c r="A126" s="494" t="str">
        <f>'Materiais de reposição'!A118</f>
        <v>18.115</v>
      </c>
      <c r="B126" s="433" t="str">
        <f>'Materiais de reposição'!C118</f>
        <v>PLACA ELETRÔNICA ELEVADOR 594154</v>
      </c>
      <c r="C126" s="23">
        <f>'Materiais de reposição'!D118</f>
        <v>1</v>
      </c>
      <c r="D126" s="23" t="str">
        <f>'Materiais de reposição'!E118</f>
        <v>unid</v>
      </c>
      <c r="E126" s="495">
        <f>'Materiais de reposição'!F118</f>
        <v>8400</v>
      </c>
      <c r="F126" s="495">
        <f>'Materiais de reposição'!G118</f>
        <v>8400</v>
      </c>
      <c r="G126" s="510"/>
    </row>
    <row r="127" spans="1:7" s="435" customFormat="1" ht="15" customHeight="1">
      <c r="A127" s="494" t="str">
        <f>'Materiais de reposição'!A119</f>
        <v>18.116</v>
      </c>
      <c r="B127" s="433" t="str">
        <f>'Materiais de reposição'!C119</f>
        <v>PLACA ELETRÔNICA ELEVADOR 594157</v>
      </c>
      <c r="C127" s="23">
        <f>'Materiais de reposição'!D119</f>
        <v>1</v>
      </c>
      <c r="D127" s="23" t="str">
        <f>'Materiais de reposição'!E119</f>
        <v>unid</v>
      </c>
      <c r="E127" s="495">
        <f>'Materiais de reposição'!F119</f>
        <v>12620</v>
      </c>
      <c r="F127" s="495">
        <f>'Materiais de reposição'!G119</f>
        <v>12620</v>
      </c>
      <c r="G127" s="510"/>
    </row>
    <row r="128" spans="1:7" s="435" customFormat="1" ht="15" customHeight="1">
      <c r="A128" s="494" t="str">
        <f>'Materiais de reposição'!A120</f>
        <v>18.117</v>
      </c>
      <c r="B128" s="433" t="str">
        <f>'Materiais de reposição'!C120</f>
        <v>SOQUETE ENCAIXE LÂMPADA 1543296</v>
      </c>
      <c r="C128" s="23">
        <f>'Materiais de reposição'!D120</f>
        <v>1</v>
      </c>
      <c r="D128" s="23" t="str">
        <f>'Materiais de reposição'!E120</f>
        <v>unid</v>
      </c>
      <c r="E128" s="495">
        <f>'Materiais de reposição'!F120</f>
        <v>25.8</v>
      </c>
      <c r="F128" s="495">
        <f>'Materiais de reposição'!G120</f>
        <v>25.8</v>
      </c>
      <c r="G128" s="510"/>
    </row>
    <row r="129" spans="1:7" s="435" customFormat="1" ht="15" customHeight="1">
      <c r="A129" s="494" t="str">
        <f>'Materiais de reposição'!A121</f>
        <v>18.118</v>
      </c>
      <c r="B129" s="433" t="str">
        <f>'Materiais de reposição'!C121</f>
        <v>CONTATO LIMITADOR VELOC 2927985</v>
      </c>
      <c r="C129" s="23">
        <f>'Materiais de reposição'!D121</f>
        <v>1</v>
      </c>
      <c r="D129" s="23" t="str">
        <f>'Materiais de reposição'!E121</f>
        <v>unid</v>
      </c>
      <c r="E129" s="495">
        <f>'Materiais de reposição'!F121</f>
        <v>652</v>
      </c>
      <c r="F129" s="495">
        <f>'Materiais de reposição'!G121</f>
        <v>652</v>
      </c>
      <c r="G129" s="510"/>
    </row>
    <row r="130" spans="1:7" s="435" customFormat="1" ht="15" customHeight="1">
      <c r="A130" s="494" t="str">
        <f>'Materiais de reposição'!A122</f>
        <v>18.119</v>
      </c>
      <c r="B130" s="433" t="str">
        <f>'Materiais de reposição'!C122</f>
        <v>ANEL O  6685609</v>
      </c>
      <c r="C130" s="23">
        <f>'Materiais de reposição'!D122</f>
        <v>1</v>
      </c>
      <c r="D130" s="23" t="str">
        <f>'Materiais de reposição'!E122</f>
        <v>unid</v>
      </c>
      <c r="E130" s="495">
        <f>'Materiais de reposição'!F122</f>
        <v>345</v>
      </c>
      <c r="F130" s="495">
        <f>'Materiais de reposição'!G122</f>
        <v>345</v>
      </c>
      <c r="G130" s="510"/>
    </row>
    <row r="131" spans="1:7" s="435" customFormat="1" ht="15" customHeight="1">
      <c r="A131" s="494" t="str">
        <f>'Materiais de reposição'!A123</f>
        <v>18.120</v>
      </c>
      <c r="B131" s="433" t="str">
        <f>'Materiais de reposição'!C123</f>
        <v>INTERFONE ELEVADOR 51914826</v>
      </c>
      <c r="C131" s="23">
        <f>'Materiais de reposição'!D123</f>
        <v>1</v>
      </c>
      <c r="D131" s="23" t="str">
        <f>'Materiais de reposição'!E123</f>
        <v>unid</v>
      </c>
      <c r="E131" s="495">
        <f>'Materiais de reposição'!F123</f>
        <v>1100</v>
      </c>
      <c r="F131" s="495">
        <f>'Materiais de reposição'!G123</f>
        <v>1100</v>
      </c>
      <c r="G131" s="510"/>
    </row>
    <row r="132" spans="1:7" s="435" customFormat="1" ht="15" customHeight="1">
      <c r="A132" s="494" t="str">
        <f>'Materiais de reposição'!A124</f>
        <v>18.121</v>
      </c>
      <c r="B132" s="433" t="str">
        <f>'Materiais de reposição'!C124</f>
        <v>PROTETOR CONTRAPESO 51921717</v>
      </c>
      <c r="C132" s="23">
        <f>'Materiais de reposição'!D124</f>
        <v>1</v>
      </c>
      <c r="D132" s="23" t="str">
        <f>'Materiais de reposição'!E124</f>
        <v>unid</v>
      </c>
      <c r="E132" s="495">
        <f>'Materiais de reposição'!F124</f>
        <v>385</v>
      </c>
      <c r="F132" s="495">
        <f>'Materiais de reposição'!G124</f>
        <v>385</v>
      </c>
      <c r="G132" s="510"/>
    </row>
    <row r="133" spans="1:7" s="435" customFormat="1" ht="15" customHeight="1">
      <c r="A133" s="494" t="str">
        <f>'Materiais de reposição'!A125</f>
        <v>18.122</v>
      </c>
      <c r="B133" s="433" t="str">
        <f>'Materiais de reposição'!C125</f>
        <v>INTERFONE ELEVADOR 51922225</v>
      </c>
      <c r="C133" s="23">
        <f>'Materiais de reposição'!D125</f>
        <v>1</v>
      </c>
      <c r="D133" s="23" t="str">
        <f>'Materiais de reposição'!E125</f>
        <v>unid</v>
      </c>
      <c r="E133" s="495">
        <f>'Materiais de reposição'!F125</f>
        <v>1530</v>
      </c>
      <c r="F133" s="495">
        <f>'Materiais de reposição'!G125</f>
        <v>1530</v>
      </c>
      <c r="G133" s="510"/>
    </row>
    <row r="134" spans="1:7" s="435" customFormat="1" ht="15" customHeight="1">
      <c r="A134" s="494" t="str">
        <f>'Materiais de reposição'!A126</f>
        <v>18.123</v>
      </c>
      <c r="B134" s="433" t="str">
        <f>'Materiais de reposição'!C126</f>
        <v>INTERCOMUNICADOR CABINA 51922790</v>
      </c>
      <c r="C134" s="23">
        <f>'Materiais de reposição'!D126</f>
        <v>1</v>
      </c>
      <c r="D134" s="23" t="str">
        <f>'Materiais de reposição'!E126</f>
        <v>unid</v>
      </c>
      <c r="E134" s="495">
        <f>'Materiais de reposição'!F126</f>
        <v>1890</v>
      </c>
      <c r="F134" s="495">
        <f>'Materiais de reposição'!G126</f>
        <v>1890</v>
      </c>
      <c r="G134" s="510"/>
    </row>
    <row r="135" spans="1:7" s="435" customFormat="1" ht="15" customHeight="1">
      <c r="A135" s="494" t="str">
        <f>'Materiais de reposição'!A127</f>
        <v>18.124</v>
      </c>
      <c r="B135" s="433" t="str">
        <f>'Materiais de reposição'!C127</f>
        <v>INTERCOMUNICADOR CABINA 51931226</v>
      </c>
      <c r="C135" s="23">
        <f>'Materiais de reposição'!D127</f>
        <v>1</v>
      </c>
      <c r="D135" s="23" t="str">
        <f>'Materiais de reposição'!E127</f>
        <v>unid</v>
      </c>
      <c r="E135" s="495">
        <f>'Materiais de reposição'!F127</f>
        <v>1890</v>
      </c>
      <c r="F135" s="495">
        <f>'Materiais de reposição'!G127</f>
        <v>1890</v>
      </c>
      <c r="G135" s="510"/>
    </row>
    <row r="136" spans="1:7" s="435" customFormat="1" ht="15" customHeight="1">
      <c r="A136" s="494" t="str">
        <f>'Materiais de reposição'!A128</f>
        <v>18.125</v>
      </c>
      <c r="B136" s="433" t="str">
        <f>'Materiais de reposição'!C128</f>
        <v>CJ COP5B 10 LA (MEC 10 TEC) 51820151</v>
      </c>
      <c r="C136" s="23">
        <f>'Materiais de reposição'!D128</f>
        <v>1</v>
      </c>
      <c r="D136" s="23" t="str">
        <f>'Materiais de reposição'!E128</f>
        <v>unid</v>
      </c>
      <c r="E136" s="495">
        <f>'Materiais de reposição'!F128</f>
        <v>18640</v>
      </c>
      <c r="F136" s="495">
        <f>'Materiais de reposição'!G128</f>
        <v>18640</v>
      </c>
      <c r="G136" s="510"/>
    </row>
    <row r="137" spans="1:7" s="435" customFormat="1" ht="15" customHeight="1">
      <c r="A137" s="494" t="str">
        <f>'Materiais de reposição'!A129</f>
        <v>18.126</v>
      </c>
      <c r="B137" s="433" t="str">
        <f>'Materiais de reposição'!C129</f>
        <v>CJ COP5B 10 LA (MEC 10 TEC) 51820152</v>
      </c>
      <c r="C137" s="23">
        <f>'Materiais de reposição'!D129</f>
        <v>1</v>
      </c>
      <c r="D137" s="23" t="str">
        <f>'Materiais de reposição'!E129</f>
        <v>unid</v>
      </c>
      <c r="E137" s="495">
        <f>'Materiais de reposição'!F129</f>
        <v>19650</v>
      </c>
      <c r="F137" s="495">
        <f>'Materiais de reposição'!G129</f>
        <v>19650</v>
      </c>
      <c r="G137" s="510"/>
    </row>
    <row r="138" spans="1:7" s="435" customFormat="1" ht="15" customHeight="1">
      <c r="A138" s="494" t="str">
        <f>'Materiais de reposição'!A130</f>
        <v>18.127</v>
      </c>
      <c r="B138" s="433" t="str">
        <f>'Materiais de reposição'!C130</f>
        <v>LÂMPADA LED TUBULAR 51946231</v>
      </c>
      <c r="C138" s="23">
        <f>'Materiais de reposição'!D130</f>
        <v>4</v>
      </c>
      <c r="D138" s="23" t="str">
        <f>'Materiais de reposição'!E130</f>
        <v>unid</v>
      </c>
      <c r="E138" s="495">
        <f>'Materiais de reposição'!F130</f>
        <v>820</v>
      </c>
      <c r="F138" s="495">
        <f>'Materiais de reposição'!G130</f>
        <v>3280</v>
      </c>
      <c r="G138" s="510"/>
    </row>
    <row r="139" spans="1:7" s="435" customFormat="1" ht="15" customHeight="1">
      <c r="A139" s="494" t="str">
        <f>'Materiais de reposição'!A131</f>
        <v>18.128</v>
      </c>
      <c r="B139" s="433" t="str">
        <f>'Materiais de reposição'!C131</f>
        <v>INTERCOMUNICADOR CABINA 51946711</v>
      </c>
      <c r="C139" s="23">
        <f>'Materiais de reposição'!D131</f>
        <v>1</v>
      </c>
      <c r="D139" s="23" t="str">
        <f>'Materiais de reposição'!E131</f>
        <v>unid</v>
      </c>
      <c r="E139" s="495">
        <f>'Materiais de reposição'!F131</f>
        <v>904</v>
      </c>
      <c r="F139" s="495">
        <f>'Materiais de reposição'!G131</f>
        <v>904</v>
      </c>
      <c r="G139" s="510"/>
    </row>
    <row r="140" spans="1:7" s="435" customFormat="1" ht="15" customHeight="1">
      <c r="A140" s="494" t="str">
        <f>'Materiais de reposição'!A132</f>
        <v>18.129</v>
      </c>
      <c r="B140" s="433" t="str">
        <f>'Materiais de reposição'!C132</f>
        <v>DITADOR PORTA ELEVADOR 51969760</v>
      </c>
      <c r="C140" s="23">
        <f>'Materiais de reposição'!D132</f>
        <v>1</v>
      </c>
      <c r="D140" s="23" t="str">
        <f>'Materiais de reposição'!E132</f>
        <v>unid</v>
      </c>
      <c r="E140" s="495">
        <f>'Materiais de reposição'!F132</f>
        <v>1985</v>
      </c>
      <c r="F140" s="495">
        <f>'Materiais de reposição'!G132</f>
        <v>1985</v>
      </c>
      <c r="G140" s="510"/>
    </row>
    <row r="141" spans="1:7" s="435" customFormat="1" ht="15" customHeight="1">
      <c r="A141" s="494" t="str">
        <f>'Materiais de reposição'!A133</f>
        <v>18.130</v>
      </c>
      <c r="B141" s="433" t="str">
        <f>'Materiais de reposição'!C133</f>
        <v>GUARNIÇÃO GUIA ELEVADOR 52513669</v>
      </c>
      <c r="C141" s="23">
        <f>'Materiais de reposição'!D133</f>
        <v>1</v>
      </c>
      <c r="D141" s="23" t="str">
        <f>'Materiais de reposição'!E133</f>
        <v>unid</v>
      </c>
      <c r="E141" s="495">
        <f>'Materiais de reposição'!F133</f>
        <v>850</v>
      </c>
      <c r="F141" s="495">
        <f>'Materiais de reposição'!G133</f>
        <v>850</v>
      </c>
      <c r="G141" s="510"/>
    </row>
    <row r="142" spans="1:7" s="435" customFormat="1" ht="15" customHeight="1">
      <c r="A142" s="494" t="str">
        <f>'Materiais de reposição'!A134</f>
        <v>18.131</v>
      </c>
      <c r="B142" s="433" t="str">
        <f>'Materiais de reposição'!C134</f>
        <v>COP5-K 55503482</v>
      </c>
      <c r="C142" s="23">
        <f>'Materiais de reposição'!D134</f>
        <v>1</v>
      </c>
      <c r="D142" s="23" t="str">
        <f>'Materiais de reposição'!E134</f>
        <v>unid</v>
      </c>
      <c r="E142" s="495">
        <f>'Materiais de reposição'!F134</f>
        <v>2890</v>
      </c>
      <c r="F142" s="495">
        <f>'Materiais de reposição'!G134</f>
        <v>2890</v>
      </c>
      <c r="G142" s="510"/>
    </row>
    <row r="143" spans="1:7" s="435" customFormat="1" ht="15" customHeight="1">
      <c r="A143" s="494" t="str">
        <f>'Materiais de reposição'!A135</f>
        <v>18.132</v>
      </c>
      <c r="B143" s="433" t="str">
        <f>'Materiais de reposição'!C135</f>
        <v>ALARME CABINA ELEVADOR 55503535</v>
      </c>
      <c r="C143" s="23">
        <f>'Materiais de reposição'!D135</f>
        <v>1</v>
      </c>
      <c r="D143" s="23" t="str">
        <f>'Materiais de reposição'!E135</f>
        <v>unid</v>
      </c>
      <c r="E143" s="495">
        <f>'Materiais de reposição'!F135</f>
        <v>1690</v>
      </c>
      <c r="F143" s="495">
        <f>'Materiais de reposição'!G135</f>
        <v>1690</v>
      </c>
      <c r="G143" s="510"/>
    </row>
    <row r="144" spans="1:7" s="435" customFormat="1" ht="15" customHeight="1">
      <c r="A144" s="494" t="str">
        <f>'Materiais de reposição'!A136</f>
        <v>18.133</v>
      </c>
      <c r="B144" s="433" t="str">
        <f>'Materiais de reposição'!C136</f>
        <v>INDICADOR ELEVADOR 55503774</v>
      </c>
      <c r="C144" s="23">
        <f>'Materiais de reposição'!D136</f>
        <v>1</v>
      </c>
      <c r="D144" s="23" t="str">
        <f>'Materiais de reposição'!E136</f>
        <v>unid</v>
      </c>
      <c r="E144" s="495">
        <f>'Materiais de reposição'!F136</f>
        <v>3200</v>
      </c>
      <c r="F144" s="495">
        <f>'Materiais de reposição'!G136</f>
        <v>3200</v>
      </c>
      <c r="G144" s="510"/>
    </row>
    <row r="145" spans="1:7" s="435" customFormat="1" ht="15" customHeight="1">
      <c r="A145" s="494" t="str">
        <f>'Materiais de reposição'!A137</f>
        <v>18.134</v>
      </c>
      <c r="B145" s="433" t="str">
        <f>'Materiais de reposição'!C137</f>
        <v>FONTE ALIMENTAÇÃO 55503909</v>
      </c>
      <c r="C145" s="23">
        <f>'Materiais de reposição'!D137</f>
        <v>1</v>
      </c>
      <c r="D145" s="23" t="str">
        <f>'Materiais de reposição'!E137</f>
        <v>unid</v>
      </c>
      <c r="E145" s="495">
        <f>'Materiais de reposição'!F137</f>
        <v>2786</v>
      </c>
      <c r="F145" s="495">
        <f>'Materiais de reposição'!G137</f>
        <v>2786</v>
      </c>
      <c r="G145" s="510"/>
    </row>
    <row r="146" spans="1:7" s="435" customFormat="1" ht="15" customHeight="1">
      <c r="A146" s="494" t="str">
        <f>'Materiais de reposição'!A138</f>
        <v>18.135</v>
      </c>
      <c r="B146" s="433" t="str">
        <f>'Materiais de reposição'!C138</f>
        <v>BOTOEIRA CHAMADA/SERVIÇO 55504810</v>
      </c>
      <c r="C146" s="23">
        <f>'Materiais de reposição'!D138</f>
        <v>1</v>
      </c>
      <c r="D146" s="23" t="str">
        <f>'Materiais de reposição'!E138</f>
        <v>unid</v>
      </c>
      <c r="E146" s="495">
        <f>'Materiais de reposição'!F138</f>
        <v>1760</v>
      </c>
      <c r="F146" s="495">
        <f>'Materiais de reposição'!G138</f>
        <v>1760</v>
      </c>
      <c r="G146" s="510"/>
    </row>
    <row r="147" spans="1:7" s="435" customFormat="1" ht="15" customHeight="1">
      <c r="A147" s="494" t="str">
        <f>'Materiais de reposição'!A139</f>
        <v>18.136</v>
      </c>
      <c r="B147" s="433" t="str">
        <f>'Materiais de reposição'!C139</f>
        <v>BOTOEIRA CHAMADA/SERVIÇO 55504811</v>
      </c>
      <c r="C147" s="23">
        <f>'Materiais de reposição'!D139</f>
        <v>1</v>
      </c>
      <c r="D147" s="23" t="str">
        <f>'Materiais de reposição'!E139</f>
        <v>unid</v>
      </c>
      <c r="E147" s="495">
        <f>'Materiais de reposição'!F139</f>
        <v>1980</v>
      </c>
      <c r="F147" s="495">
        <f>'Materiais de reposição'!G139</f>
        <v>1980</v>
      </c>
      <c r="G147" s="510"/>
    </row>
    <row r="148" spans="1:7" s="435" customFormat="1" ht="15" customHeight="1">
      <c r="A148" s="494" t="str">
        <f>'Materiais de reposição'!A140</f>
        <v>18.137</v>
      </c>
      <c r="B148" s="433" t="str">
        <f>'Materiais de reposição'!C140</f>
        <v>BOTOEIRA CHAMADA/SERVIÇO 55504812</v>
      </c>
      <c r="C148" s="23">
        <f>'Materiais de reposição'!D140</f>
        <v>1</v>
      </c>
      <c r="D148" s="23" t="str">
        <f>'Materiais de reposição'!E140</f>
        <v>unid</v>
      </c>
      <c r="E148" s="495">
        <f>'Materiais de reposição'!F140</f>
        <v>2130</v>
      </c>
      <c r="F148" s="495">
        <f>'Materiais de reposição'!G140</f>
        <v>2130</v>
      </c>
      <c r="G148" s="510"/>
    </row>
    <row r="149" spans="1:7" s="435" customFormat="1" ht="15" customHeight="1">
      <c r="A149" s="494" t="str">
        <f>'Materiais de reposição'!A141</f>
        <v>18.138</v>
      </c>
      <c r="B149" s="433" t="str">
        <f>'Materiais de reposição'!C141</f>
        <v>VENTILADOR CABINA 57623106</v>
      </c>
      <c r="C149" s="23">
        <f>'Materiais de reposição'!D141</f>
        <v>1</v>
      </c>
      <c r="D149" s="23" t="str">
        <f>'Materiais de reposição'!E141</f>
        <v>unid</v>
      </c>
      <c r="E149" s="495">
        <f>'Materiais de reposição'!F141</f>
        <v>2100</v>
      </c>
      <c r="F149" s="495">
        <f>'Materiais de reposição'!G141</f>
        <v>2100</v>
      </c>
      <c r="G149" s="510"/>
    </row>
    <row r="150" spans="1:7" s="435" customFormat="1" ht="15" customHeight="1">
      <c r="A150" s="494" t="str">
        <f>'Materiais de reposição'!A142</f>
        <v>18.139</v>
      </c>
      <c r="B150" s="433" t="str">
        <f>'Materiais de reposição'!C142</f>
        <v>CINTA CABINA ELEVADOR 59101391</v>
      </c>
      <c r="C150" s="23">
        <f>'Materiais de reposição'!D142</f>
        <v>1</v>
      </c>
      <c r="D150" s="23" t="str">
        <f>'Materiais de reposição'!E142</f>
        <v>unid</v>
      </c>
      <c r="E150" s="495">
        <f>'Materiais de reposição'!F142</f>
        <v>825</v>
      </c>
      <c r="F150" s="495">
        <f>'Materiais de reposição'!G142</f>
        <v>825</v>
      </c>
      <c r="G150" s="510"/>
    </row>
    <row r="151" spans="1:7" s="435" customFormat="1" ht="15" customHeight="1">
      <c r="A151" s="494" t="str">
        <f>'Materiais de reposição'!A143</f>
        <v>18.140</v>
      </c>
      <c r="B151" s="433" t="str">
        <f>'Materiais de reposição'!C143</f>
        <v>GUARNIÇÃO GUIA ELEVADOR 59311751</v>
      </c>
      <c r="C151" s="23">
        <f>'Materiais de reposição'!D143</f>
        <v>1</v>
      </c>
      <c r="D151" s="23" t="str">
        <f>'Materiais de reposição'!E143</f>
        <v>unid</v>
      </c>
      <c r="E151" s="495">
        <f>'Materiais de reposição'!F143</f>
        <v>930</v>
      </c>
      <c r="F151" s="495">
        <f>'Materiais de reposição'!G143</f>
        <v>930</v>
      </c>
      <c r="G151" s="510"/>
    </row>
    <row r="152" spans="1:7" s="435" customFormat="1" ht="15" customHeight="1">
      <c r="A152" s="494" t="str">
        <f>'Materiais de reposição'!A144</f>
        <v>18.141</v>
      </c>
      <c r="B152" s="433" t="str">
        <f>'Materiais de reposição'!C144</f>
        <v>MODULO OPERADOR PORTA 59313503</v>
      </c>
      <c r="C152" s="23">
        <f>'Materiais de reposição'!D144</f>
        <v>1</v>
      </c>
      <c r="D152" s="23" t="str">
        <f>'Materiais de reposição'!E144</f>
        <v>unid</v>
      </c>
      <c r="E152" s="495">
        <f>'Materiais de reposição'!F144</f>
        <v>10450</v>
      </c>
      <c r="F152" s="495">
        <f>'Materiais de reposição'!G144</f>
        <v>10450</v>
      </c>
      <c r="G152" s="510"/>
    </row>
    <row r="153" spans="1:7" s="435" customFormat="1" ht="15" customHeight="1">
      <c r="A153" s="494" t="str">
        <f>'Materiais de reposição'!A145</f>
        <v>18.142</v>
      </c>
      <c r="B153" s="433" t="str">
        <f>'Materiais de reposição'!C145</f>
        <v>PROTEÇÃO CABINA ELEVADOR 59316976</v>
      </c>
      <c r="C153" s="23">
        <f>'Materiais de reposição'!D145</f>
        <v>1</v>
      </c>
      <c r="D153" s="23" t="str">
        <f>'Materiais de reposição'!E145</f>
        <v>unid</v>
      </c>
      <c r="E153" s="495">
        <f>'Materiais de reposição'!F145</f>
        <v>3500</v>
      </c>
      <c r="F153" s="495">
        <f>'Materiais de reposição'!G145</f>
        <v>3500</v>
      </c>
      <c r="G153" s="510"/>
    </row>
    <row r="154" spans="1:7" s="435" customFormat="1" ht="15" customHeight="1">
      <c r="A154" s="494" t="str">
        <f>'Materiais de reposição'!A146</f>
        <v>18.143</v>
      </c>
      <c r="B154" s="433" t="str">
        <f>'Materiais de reposição'!C146</f>
        <v>BOTOEIRA CHAMADA/SERVIÇO 59327696</v>
      </c>
      <c r="C154" s="23">
        <f>'Materiais de reposição'!D146</f>
        <v>1</v>
      </c>
      <c r="D154" s="23" t="str">
        <f>'Materiais de reposição'!E146</f>
        <v>unid</v>
      </c>
      <c r="E154" s="495">
        <f>'Materiais de reposição'!F146</f>
        <v>960</v>
      </c>
      <c r="F154" s="495">
        <f>'Materiais de reposição'!G146</f>
        <v>960</v>
      </c>
      <c r="G154" s="510"/>
    </row>
    <row r="155" spans="1:7" s="435" customFormat="1" ht="15" customHeight="1">
      <c r="A155" s="494" t="str">
        <f>'Materiais de reposição'!A147</f>
        <v>18.144</v>
      </c>
      <c r="B155" s="433" t="str">
        <f>'Materiais de reposição'!C147</f>
        <v>BOTOEIRA CHAMADA/SERVIÇO 59327698</v>
      </c>
      <c r="C155" s="23">
        <f>'Materiais de reposição'!D147</f>
        <v>1</v>
      </c>
      <c r="D155" s="23" t="str">
        <f>'Materiais de reposição'!E147</f>
        <v>unid</v>
      </c>
      <c r="E155" s="495">
        <f>'Materiais de reposição'!F147</f>
        <v>1844</v>
      </c>
      <c r="F155" s="495">
        <f>'Materiais de reposição'!G147</f>
        <v>1844</v>
      </c>
      <c r="G155" s="510"/>
    </row>
    <row r="156" spans="1:7" s="435" customFormat="1" ht="15" customHeight="1">
      <c r="A156" s="494" t="str">
        <f>'Materiais de reposição'!A148</f>
        <v>18.145</v>
      </c>
      <c r="B156" s="433" t="str">
        <f>'Materiais de reposição'!C148</f>
        <v>BOTOEIRA CHAMADA/SERVIÇO 59327756</v>
      </c>
      <c r="C156" s="23">
        <f>'Materiais de reposição'!D148</f>
        <v>1</v>
      </c>
      <c r="D156" s="23" t="str">
        <f>'Materiais de reposição'!E148</f>
        <v>unid</v>
      </c>
      <c r="E156" s="495">
        <f>'Materiais de reposição'!F148</f>
        <v>1100</v>
      </c>
      <c r="F156" s="495">
        <f>'Materiais de reposição'!G148</f>
        <v>1100</v>
      </c>
      <c r="G156" s="510"/>
    </row>
    <row r="157" spans="1:7" s="435" customFormat="1" ht="15" customHeight="1">
      <c r="A157" s="494" t="str">
        <f>'Materiais de reposição'!A149</f>
        <v>18.146</v>
      </c>
      <c r="B157" s="433" t="str">
        <f>'Materiais de reposição'!C149</f>
        <v>ENCODER MAQUINA ELEVADOR 59601936</v>
      </c>
      <c r="C157" s="23">
        <f>'Materiais de reposição'!D149</f>
        <v>1</v>
      </c>
      <c r="D157" s="23" t="str">
        <f>'Materiais de reposição'!E149</f>
        <v>unid</v>
      </c>
      <c r="E157" s="495">
        <f>'Materiais de reposição'!F149</f>
        <v>8980</v>
      </c>
      <c r="F157" s="495">
        <f>'Materiais de reposição'!G149</f>
        <v>8980</v>
      </c>
      <c r="G157" s="510"/>
    </row>
    <row r="158" spans="1:7" s="435" customFormat="1" ht="15" customHeight="1">
      <c r="A158" s="494" t="str">
        <f>'Materiais de reposição'!A150</f>
        <v>18.147</v>
      </c>
      <c r="B158" s="433" t="str">
        <f>'Materiais de reposição'!C150</f>
        <v>MODULO QUADRO COMANDO 59712758</v>
      </c>
      <c r="C158" s="23">
        <f>'Materiais de reposição'!D150</f>
        <v>1</v>
      </c>
      <c r="D158" s="23" t="str">
        <f>'Materiais de reposição'!E150</f>
        <v>unid</v>
      </c>
      <c r="E158" s="495">
        <f>'Materiais de reposição'!F150</f>
        <v>4250</v>
      </c>
      <c r="F158" s="495">
        <f>'Materiais de reposição'!G150</f>
        <v>4250</v>
      </c>
      <c r="G158" s="510"/>
    </row>
    <row r="159" spans="1:7" s="435" customFormat="1" ht="15" customHeight="1">
      <c r="A159" s="494" t="str">
        <f>'Materiais de reposição'!A151</f>
        <v>18.148</v>
      </c>
      <c r="B159" s="433" t="str">
        <f>'Materiais de reposição'!C151</f>
        <v>INDICADOR ELEVADOR 59324210_OC</v>
      </c>
      <c r="C159" s="23">
        <f>'Materiais de reposição'!D151</f>
        <v>1</v>
      </c>
      <c r="D159" s="23" t="str">
        <f>'Materiais de reposição'!E151</f>
        <v>unid</v>
      </c>
      <c r="E159" s="495">
        <f>'Materiais de reposição'!F151</f>
        <v>1600</v>
      </c>
      <c r="F159" s="495">
        <f>'Materiais de reposição'!G151</f>
        <v>1600</v>
      </c>
      <c r="G159" s="510"/>
    </row>
    <row r="160" spans="1:7" s="435" customFormat="1" ht="15" customHeight="1">
      <c r="A160" s="494" t="str">
        <f>'Materiais de reposição'!A152</f>
        <v>18.149</v>
      </c>
      <c r="B160" s="433" t="str">
        <f>'Materiais de reposição'!C152</f>
        <v xml:space="preserve">INVERSO DE FREQUENCIA  </v>
      </c>
      <c r="C160" s="23">
        <f>'Materiais de reposição'!D152</f>
        <v>1</v>
      </c>
      <c r="D160" s="23" t="str">
        <f>'Materiais de reposição'!E152</f>
        <v>unid</v>
      </c>
      <c r="E160" s="495">
        <f>'Materiais de reposição'!F152</f>
        <v>57900</v>
      </c>
      <c r="F160" s="495">
        <f>'Materiais de reposição'!G152</f>
        <v>57900</v>
      </c>
      <c r="G160" s="510"/>
    </row>
    <row r="161" spans="1:7" s="435" customFormat="1" ht="15" customHeight="1">
      <c r="A161" s="494" t="str">
        <f>'Materiais de reposição'!A153</f>
        <v>18.150</v>
      </c>
      <c r="B161" s="433" t="str">
        <f>'Materiais de reposição'!C153</f>
        <v>BARREIRA MODULAR TD0146X004</v>
      </c>
      <c r="C161" s="23">
        <f>'Materiais de reposição'!D153</f>
        <v>1</v>
      </c>
      <c r="D161" s="23" t="str">
        <f>'Materiais de reposição'!E153</f>
        <v>unid</v>
      </c>
      <c r="E161" s="495">
        <f>'Materiais de reposição'!F153</f>
        <v>1230</v>
      </c>
      <c r="F161" s="495">
        <f>'Materiais de reposição'!G153</f>
        <v>1230</v>
      </c>
      <c r="G161" s="510"/>
    </row>
    <row r="162" spans="1:7" s="435" customFormat="1" ht="7.5" customHeight="1">
      <c r="A162" s="494"/>
      <c r="B162" s="433"/>
      <c r="C162" s="23"/>
      <c r="D162" s="23"/>
      <c r="E162" s="495"/>
      <c r="F162" s="508"/>
      <c r="G162" s="510"/>
    </row>
    <row r="163" spans="1:7" ht="15.75" customHeight="1">
      <c r="A163" s="777" t="s">
        <v>1764</v>
      </c>
      <c r="B163" s="777"/>
      <c r="C163" s="496" t="s">
        <v>922</v>
      </c>
      <c r="D163" s="512"/>
      <c r="E163" s="513"/>
      <c r="F163" s="513">
        <f>ROUND(SUM(F12:F162),2)</f>
        <v>409564.09</v>
      </c>
      <c r="G163" s="216"/>
    </row>
    <row r="164" spans="1:7" ht="15.75" customHeight="1">
      <c r="A164" s="777" t="s">
        <v>1765</v>
      </c>
      <c r="B164" s="777"/>
      <c r="C164" s="496" t="s">
        <v>922</v>
      </c>
      <c r="D164" s="497">
        <f>BDI!O14</f>
        <v>0.22391624455096393</v>
      </c>
      <c r="E164" s="498"/>
      <c r="F164" s="550">
        <f>ROUND(F163*D164,2)</f>
        <v>91708.05</v>
      </c>
      <c r="G164" s="521"/>
    </row>
    <row r="165" spans="1:7" ht="15.75" customHeight="1">
      <c r="A165" s="777" t="s">
        <v>1040</v>
      </c>
      <c r="B165" s="777"/>
      <c r="C165" s="496" t="s">
        <v>922</v>
      </c>
      <c r="D165" s="772"/>
      <c r="E165" s="772"/>
      <c r="F165" s="543">
        <f>F163+F164</f>
        <v>501272.14</v>
      </c>
      <c r="G165" s="544">
        <f>F165-'Materiais de reposição'!G157</f>
        <v>0</v>
      </c>
    </row>
    <row r="166" spans="1:7" ht="29.25" customHeight="1">
      <c r="A166" s="514"/>
      <c r="B166" s="514"/>
      <c r="C166" s="143"/>
      <c r="D166" s="515"/>
      <c r="E166" s="516"/>
      <c r="F166" s="527"/>
      <c r="G166" s="499"/>
    </row>
    <row r="167" spans="1:7" ht="26.25" customHeight="1">
      <c r="A167" s="491">
        <v>19</v>
      </c>
      <c r="B167" s="505" t="s">
        <v>1613</v>
      </c>
      <c r="C167" s="511"/>
      <c r="D167" s="511"/>
      <c r="E167" s="505"/>
      <c r="F167" s="506"/>
      <c r="G167" s="385"/>
    </row>
    <row r="168" spans="1:7" ht="47.25">
      <c r="A168" s="492" t="s">
        <v>920</v>
      </c>
      <c r="B168" s="492" t="s">
        <v>197</v>
      </c>
      <c r="C168" s="493" t="s">
        <v>1522</v>
      </c>
      <c r="D168" s="493" t="s">
        <v>79</v>
      </c>
      <c r="E168" s="493" t="s">
        <v>1474</v>
      </c>
      <c r="F168" s="507" t="s">
        <v>1523</v>
      </c>
      <c r="G168" s="509"/>
    </row>
    <row r="169" spans="1:7" ht="31.5">
      <c r="A169" s="45" t="str">
        <f>Equipamentos!A4</f>
        <v>19.1</v>
      </c>
      <c r="B169" s="46" t="str">
        <f>Equipamentos!C4</f>
        <v>Unidade Condensadora de 10,0HP - Cooling Only - Condensação a Ar - 380V/3ph - Modular - Família New Set Free Sigma (RAS10FSNC7B)</v>
      </c>
      <c r="C169" s="45">
        <f>Equipamentos!D4</f>
        <v>5</v>
      </c>
      <c r="D169" s="45" t="str">
        <f>Equipamentos!E4</f>
        <v xml:space="preserve">unid. </v>
      </c>
      <c r="E169" s="12">
        <f>Equipamentos!F4</f>
        <v>30344.98</v>
      </c>
      <c r="F169" s="12">
        <f>Equipamentos!G4</f>
        <v>151724.9</v>
      </c>
      <c r="G169" s="509"/>
    </row>
    <row r="170" spans="1:7" ht="31.5">
      <c r="A170" s="45" t="str">
        <f>Equipamentos!A5</f>
        <v>19.2</v>
      </c>
      <c r="B170" s="46" t="str">
        <f>Equipamentos!C5</f>
        <v>Unidade Condensadora de 12,0HP - Cooling Only - Condensação a Ar - 380V/3ph - Modular - Família New Set Free Sigma (RAS12FSNC7B)</v>
      </c>
      <c r="C170" s="45">
        <f>Equipamentos!D5</f>
        <v>5</v>
      </c>
      <c r="D170" s="45" t="str">
        <f>Equipamentos!E5</f>
        <v xml:space="preserve">unid. </v>
      </c>
      <c r="E170" s="12">
        <f>Equipamentos!F5</f>
        <v>34419.980000000003</v>
      </c>
      <c r="F170" s="12">
        <f>Equipamentos!G5</f>
        <v>172099.9</v>
      </c>
      <c r="G170" s="509"/>
    </row>
    <row r="171" spans="1:7" ht="31.5">
      <c r="A171" s="45" t="str">
        <f>Equipamentos!A6</f>
        <v>19.3</v>
      </c>
      <c r="B171" s="46" t="str">
        <f>Equipamentos!C6</f>
        <v>Unidade Evaporadora do tipo Embutido de 1,0 HP - Alta Pressão - 220V/1ph - incluir filtro de Ar, controle remoto e receptor separadamente - Família Set Free (RPI1,0FSNQHIZ)</v>
      </c>
      <c r="C171" s="45">
        <f>Equipamentos!D6</f>
        <v>6</v>
      </c>
      <c r="D171" s="45" t="str">
        <f>Equipamentos!E6</f>
        <v xml:space="preserve">unid. </v>
      </c>
      <c r="E171" s="12">
        <f>Equipamentos!F6</f>
        <v>3251.53</v>
      </c>
      <c r="F171" s="12">
        <f>Equipamentos!G6</f>
        <v>19509.18</v>
      </c>
      <c r="G171" s="509"/>
    </row>
    <row r="172" spans="1:7">
      <c r="A172" s="45" t="str">
        <f>Equipamentos!A7</f>
        <v>19.4</v>
      </c>
      <c r="B172" s="46" t="str">
        <f>Equipamentos!C7</f>
        <v>MONITOR VIDEO WALL FHD 55'' (55VM5J-H LG)</v>
      </c>
      <c r="C172" s="45">
        <f>Equipamentos!D7</f>
        <v>6</v>
      </c>
      <c r="D172" s="45" t="str">
        <f>Equipamentos!E7</f>
        <v>unid</v>
      </c>
      <c r="E172" s="12">
        <f>Equipamentos!F7</f>
        <v>8099.24</v>
      </c>
      <c r="F172" s="12">
        <f>Equipamentos!G7</f>
        <v>48595.44</v>
      </c>
      <c r="G172" s="509"/>
    </row>
    <row r="173" spans="1:7">
      <c r="A173" s="45" t="str">
        <f>Equipamentos!A8</f>
        <v>19.5</v>
      </c>
      <c r="B173" s="46" t="str">
        <f>Equipamentos!C8</f>
        <v xml:space="preserve">LOUSA DIGITAL INTERATIVA 86" ULTRA HD </v>
      </c>
      <c r="C173" s="45">
        <f>Equipamentos!D8</f>
        <v>4</v>
      </c>
      <c r="D173" s="45" t="str">
        <f>Equipamentos!E8</f>
        <v>unid</v>
      </c>
      <c r="E173" s="12">
        <f>Equipamentos!F8</f>
        <v>19999.43</v>
      </c>
      <c r="F173" s="12">
        <f>Equipamentos!G8</f>
        <v>79997.72</v>
      </c>
      <c r="G173" s="509"/>
    </row>
    <row r="174" spans="1:7">
      <c r="A174" s="45" t="str">
        <f>Equipamentos!A9</f>
        <v>19.6</v>
      </c>
      <c r="B174" s="46" t="str">
        <f>Equipamentos!C9</f>
        <v>TV 75" LED 4K UHD SMART 3 3ntradas HDMI, controle por aplicativo</v>
      </c>
      <c r="C174" s="45">
        <f>Equipamentos!D9</f>
        <v>6</v>
      </c>
      <c r="D174" s="45" t="str">
        <f>Equipamentos!E9</f>
        <v>unid</v>
      </c>
      <c r="E174" s="12">
        <f>Equipamentos!F9</f>
        <v>4945.1400000000003</v>
      </c>
      <c r="F174" s="12">
        <f>Equipamentos!G9</f>
        <v>29670.840000000004</v>
      </c>
      <c r="G174" s="509"/>
    </row>
    <row r="175" spans="1:7" ht="8.25" customHeight="1">
      <c r="A175" s="545"/>
      <c r="B175" s="545"/>
      <c r="C175" s="546"/>
      <c r="D175" s="546"/>
      <c r="E175" s="546"/>
      <c r="F175" s="546"/>
      <c r="G175" s="509"/>
    </row>
    <row r="176" spans="1:7" ht="17.25" customHeight="1">
      <c r="A176" s="549"/>
      <c r="B176" s="535" t="s">
        <v>1763</v>
      </c>
      <c r="C176" s="496" t="s">
        <v>922</v>
      </c>
      <c r="D176" s="512"/>
      <c r="E176" s="513"/>
      <c r="F176" s="536">
        <f>SUM(F169:F175)</f>
        <v>501597.98000000004</v>
      </c>
      <c r="G176" s="216"/>
    </row>
    <row r="177" spans="1:13" ht="15.75" customHeight="1">
      <c r="A177" s="549"/>
      <c r="B177" s="535" t="s">
        <v>1765</v>
      </c>
      <c r="C177" s="496" t="s">
        <v>922</v>
      </c>
      <c r="D177" s="497">
        <f>BDI!O14</f>
        <v>0.22391624455096393</v>
      </c>
      <c r="E177" s="498"/>
      <c r="F177" s="550">
        <f>F176*D177</f>
        <v>112315.93595594952</v>
      </c>
      <c r="G177" s="521"/>
    </row>
    <row r="178" spans="1:13" ht="15.75" customHeight="1">
      <c r="A178" s="549"/>
      <c r="B178" s="535" t="s">
        <v>924</v>
      </c>
      <c r="C178" s="496" t="s">
        <v>922</v>
      </c>
      <c r="D178" s="772"/>
      <c r="E178" s="772"/>
      <c r="F178" s="543">
        <f>ROUND((F176+F177),2)</f>
        <v>613913.92000000004</v>
      </c>
      <c r="G178" s="544">
        <f>F178-Equipamentos!G13</f>
        <v>0</v>
      </c>
    </row>
    <row r="179" spans="1:13">
      <c r="A179" s="547"/>
      <c r="B179" s="547"/>
      <c r="C179" s="548"/>
      <c r="D179" s="548"/>
      <c r="E179" s="548"/>
      <c r="F179" s="548"/>
      <c r="G179" s="509"/>
    </row>
    <row r="180" spans="1:13" ht="37.5" customHeight="1">
      <c r="A180" s="778"/>
      <c r="B180" s="778"/>
      <c r="C180" s="778"/>
      <c r="D180" s="778"/>
      <c r="E180" s="778"/>
      <c r="F180" s="779"/>
      <c r="G180" s="386"/>
    </row>
    <row r="181" spans="1:13" ht="21.75" customHeight="1">
      <c r="A181" s="491">
        <v>20</v>
      </c>
      <c r="B181" s="770" t="s">
        <v>185</v>
      </c>
      <c r="C181" s="770"/>
      <c r="D181" s="770"/>
      <c r="E181" s="770"/>
      <c r="F181" s="771"/>
      <c r="G181" s="386"/>
      <c r="H181" s="500" t="e">
        <f>#REF!/#REF!</f>
        <v>#REF!</v>
      </c>
      <c r="I181" s="500" t="e">
        <f>#REF!/#REF!</f>
        <v>#REF!</v>
      </c>
      <c r="J181" s="500" t="e">
        <f>#REF!/#REF!</f>
        <v>#REF!</v>
      </c>
      <c r="K181" s="500" t="e">
        <f>#REF!/#REF!</f>
        <v>#REF!</v>
      </c>
      <c r="L181" s="500" t="e">
        <f>#REF!/#REF!</f>
        <v>#REF!</v>
      </c>
      <c r="M181" s="500" t="e">
        <f>#REF!/#REF!</f>
        <v>#REF!</v>
      </c>
    </row>
    <row r="182" spans="1:13" ht="47.25">
      <c r="A182" s="492" t="s">
        <v>920</v>
      </c>
      <c r="B182" s="492" t="s">
        <v>197</v>
      </c>
      <c r="C182" s="541" t="s">
        <v>921</v>
      </c>
      <c r="D182" s="493" t="s">
        <v>1736</v>
      </c>
      <c r="E182" s="493" t="s">
        <v>1737</v>
      </c>
      <c r="F182" s="507" t="s">
        <v>1523</v>
      </c>
      <c r="G182" s="509"/>
    </row>
    <row r="183" spans="1:13" s="435" customFormat="1">
      <c r="A183" s="494" t="str">
        <f>'Serviços eventuais'!A4</f>
        <v>20.1</v>
      </c>
      <c r="B183" s="433" t="str">
        <f>'Serviços eventuais'!C4</f>
        <v>DEMOLIÇÃO DE RODAPÉ CERÂMICO, DE FORMA MANUAL, SEM REAPROVEITAMENTO</v>
      </c>
      <c r="C183" s="23" t="str">
        <f>'Serviços eventuais'!D4</f>
        <v>M</v>
      </c>
      <c r="D183" s="542">
        <f>'Serviços eventuais'!E4</f>
        <v>30</v>
      </c>
      <c r="E183" s="495">
        <f>'Serviços eventuais'!F4</f>
        <v>3.08</v>
      </c>
      <c r="F183" s="495">
        <f>'Serviços eventuais'!G4</f>
        <v>92.4</v>
      </c>
      <c r="G183" s="510"/>
    </row>
    <row r="184" spans="1:13" s="435" customFormat="1">
      <c r="A184" s="494" t="str">
        <f>'Serviços eventuais'!A5</f>
        <v>20.2</v>
      </c>
      <c r="B184" s="433" t="str">
        <f>'Serviços eventuais'!C5</f>
        <v>DEMOLIÇÃO DE REVESTIMENTO CERÂMICO, DE FORMA MANUAL, SEM REAPROVEITAMENTO</v>
      </c>
      <c r="C184" s="23" t="str">
        <f>'Serviços eventuais'!D5</f>
        <v>M2</v>
      </c>
      <c r="D184" s="542">
        <f>'Serviços eventuais'!E5</f>
        <v>350</v>
      </c>
      <c r="E184" s="495">
        <f>'Serviços eventuais'!F5</f>
        <v>26.95</v>
      </c>
      <c r="F184" s="495">
        <f>'Serviços eventuais'!G5</f>
        <v>9432.5</v>
      </c>
      <c r="G184" s="510"/>
    </row>
    <row r="185" spans="1:13" s="435" customFormat="1">
      <c r="A185" s="494" t="str">
        <f>'Serviços eventuais'!A6</f>
        <v>20.3</v>
      </c>
      <c r="B185" s="433" t="str">
        <f>'Serviços eventuais'!C6</f>
        <v xml:space="preserve">Revestimento de piso, tipo porcelanato - 1º subsolo - vestiarios, salas técnicas, etc </v>
      </c>
      <c r="C185" s="23" t="str">
        <f>'Serviços eventuais'!D6</f>
        <v>M2</v>
      </c>
      <c r="D185" s="542">
        <f>'Serviços eventuais'!E6</f>
        <v>200</v>
      </c>
      <c r="E185" s="495">
        <f>'Serviços eventuais'!F6</f>
        <v>131.53</v>
      </c>
      <c r="F185" s="495">
        <f>'Serviços eventuais'!G6</f>
        <v>26306</v>
      </c>
      <c r="G185" s="510"/>
    </row>
    <row r="186" spans="1:13" s="435" customFormat="1">
      <c r="A186" s="494" t="str">
        <f>'Serviços eventuais'!A7</f>
        <v>20.4</v>
      </c>
      <c r="B186" s="433" t="str">
        <f>'Serviços eventuais'!C7</f>
        <v>Piso de granito dourado carioca flameado / polido</v>
      </c>
      <c r="C186" s="23" t="str">
        <f>'Serviços eventuais'!D7</f>
        <v>M2</v>
      </c>
      <c r="D186" s="542">
        <f>'Serviços eventuais'!E7</f>
        <v>50</v>
      </c>
      <c r="E186" s="495">
        <f>'Serviços eventuais'!F7</f>
        <v>403.82</v>
      </c>
      <c r="F186" s="495">
        <f>'Serviços eventuais'!G7</f>
        <v>20191</v>
      </c>
      <c r="G186" s="510"/>
    </row>
    <row r="187" spans="1:13" s="435" customFormat="1">
      <c r="A187" s="494" t="str">
        <f>'Serviços eventuais'!A8</f>
        <v>20.5</v>
      </c>
      <c r="B187" s="433" t="str">
        <f>'Serviços eventuais'!C8</f>
        <v>Piso de Granito BRANCO POLAR flameado / polido</v>
      </c>
      <c r="C187" s="23" t="str">
        <f>'Serviços eventuais'!D8</f>
        <v>M2</v>
      </c>
      <c r="D187" s="542">
        <f>'Serviços eventuais'!E8</f>
        <v>50</v>
      </c>
      <c r="E187" s="495">
        <f>'Serviços eventuais'!F8</f>
        <v>403.82</v>
      </c>
      <c r="F187" s="495">
        <f>'Serviços eventuais'!G8</f>
        <v>20191</v>
      </c>
      <c r="G187" s="510"/>
    </row>
    <row r="188" spans="1:13" s="435" customFormat="1">
      <c r="A188" s="494" t="str">
        <f>'Serviços eventuais'!A9</f>
        <v>20.6</v>
      </c>
      <c r="B188" s="433" t="str">
        <f>'Serviços eventuais'!C9</f>
        <v>Revestimento em placa vinílica de 50cm x 50cm - pavimento tipo</v>
      </c>
      <c r="C188" s="23" t="str">
        <f>'Serviços eventuais'!D9</f>
        <v>M2</v>
      </c>
      <c r="D188" s="542">
        <f>'Serviços eventuais'!E9</f>
        <v>375</v>
      </c>
      <c r="E188" s="495">
        <f>'Serviços eventuais'!F9</f>
        <v>131.36847</v>
      </c>
      <c r="F188" s="495">
        <f>'Serviços eventuais'!G9</f>
        <v>49263.18</v>
      </c>
      <c r="G188" s="510"/>
    </row>
    <row r="189" spans="1:13" s="435" customFormat="1">
      <c r="A189" s="494" t="str">
        <f>'Serviços eventuais'!A10</f>
        <v>20.7</v>
      </c>
      <c r="B189" s="433" t="str">
        <f>'Serviços eventuais'!C10</f>
        <v>PINTURA DE PISO COM TINTA EPÓXI, APLICAÇÃO MANUAL, 2 DEMÃOS, INCLUSO PRIMER EPÓXI.</v>
      </c>
      <c r="C189" s="23" t="str">
        <f>'Serviços eventuais'!D10</f>
        <v>M2</v>
      </c>
      <c r="D189" s="542">
        <f>'Serviços eventuais'!E10</f>
        <v>185</v>
      </c>
      <c r="E189" s="495">
        <f>'Serviços eventuais'!F10</f>
        <v>75.67</v>
      </c>
      <c r="F189" s="495">
        <f>'Serviços eventuais'!G10</f>
        <v>13998.95</v>
      </c>
      <c r="G189" s="510"/>
    </row>
    <row r="190" spans="1:13" s="435" customFormat="1" ht="31.5">
      <c r="A190" s="494" t="str">
        <f>'Serviços eventuais'!A11</f>
        <v>20.8</v>
      </c>
      <c r="B190" s="433" t="str">
        <f>'Serviços eventuais'!C11</f>
        <v>PINTURA DE RODAPÉ COM TINTA EPÓXI, APLICAÇÃO MANUAL, 2 DEMÃOS, INCLUSÃO PRIMER EPÓXI</v>
      </c>
      <c r="C190" s="23" t="str">
        <f>'Serviços eventuais'!D11</f>
        <v>M</v>
      </c>
      <c r="D190" s="542">
        <f>'Serviços eventuais'!E11</f>
        <v>95</v>
      </c>
      <c r="E190" s="495">
        <f>'Serviços eventuais'!F11</f>
        <v>15.87</v>
      </c>
      <c r="F190" s="495">
        <f>'Serviços eventuais'!G11</f>
        <v>1507.65</v>
      </c>
      <c r="G190" s="510"/>
    </row>
    <row r="191" spans="1:13" s="435" customFormat="1" ht="31.5">
      <c r="A191" s="494" t="str">
        <f>'Serviços eventuais'!A12</f>
        <v>20.9</v>
      </c>
      <c r="B191" s="433" t="str">
        <f>'Serviços eventuais'!C12</f>
        <v>PINTURA DE PISO COM TINTA ACRÍLICA, APLICAÇÃO MANUAL, 2 DEMÃOS, INCLUSO FUNDO PREPARADOR</v>
      </c>
      <c r="C191" s="23" t="str">
        <f>'Serviços eventuais'!D12</f>
        <v>M2</v>
      </c>
      <c r="D191" s="542">
        <f>'Serviços eventuais'!E12</f>
        <v>280</v>
      </c>
      <c r="E191" s="495">
        <f>'Serviços eventuais'!F12</f>
        <v>23.78</v>
      </c>
      <c r="F191" s="495">
        <f>'Serviços eventuais'!G12</f>
        <v>6658.4</v>
      </c>
      <c r="G191" s="510"/>
    </row>
    <row r="192" spans="1:13" s="435" customFormat="1">
      <c r="A192" s="494" t="str">
        <f>'Serviços eventuais'!A13</f>
        <v>20.10</v>
      </c>
      <c r="B192" s="433" t="str">
        <f>'Serviços eventuais'!C13</f>
        <v>RECUPERAÇÃO DE PISO ELEVADO</v>
      </c>
      <c r="C192" s="23" t="str">
        <f>'Serviços eventuais'!D13</f>
        <v>M2</v>
      </c>
      <c r="D192" s="542">
        <f>'Serviços eventuais'!E13</f>
        <v>25</v>
      </c>
      <c r="E192" s="495">
        <f>'Serviços eventuais'!F13</f>
        <v>317.01490000000001</v>
      </c>
      <c r="F192" s="495">
        <f>'Serviços eventuais'!G13</f>
        <v>7925.37</v>
      </c>
      <c r="G192" s="510"/>
    </row>
    <row r="193" spans="1:7" s="435" customFormat="1">
      <c r="A193" s="494" t="str">
        <f>'Serviços eventuais'!A14</f>
        <v>20.11</v>
      </c>
      <c r="B193" s="433" t="str">
        <f>'Serviços eventuais'!C14</f>
        <v>PISO EM CARPETE - Plenário - inluindo retirada do anterior</v>
      </c>
      <c r="C193" s="23" t="str">
        <f>'Serviços eventuais'!D14</f>
        <v>M2</v>
      </c>
      <c r="D193" s="542">
        <f>'Serviços eventuais'!E14</f>
        <v>290</v>
      </c>
      <c r="E193" s="495">
        <f>'Serviços eventuais'!F14</f>
        <v>266.99489999999997</v>
      </c>
      <c r="F193" s="495">
        <f>'Serviços eventuais'!G14</f>
        <v>77428.52</v>
      </c>
      <c r="G193" s="510"/>
    </row>
    <row r="194" spans="1:7" s="435" customFormat="1">
      <c r="A194" s="494" t="str">
        <f>'Serviços eventuais'!A15</f>
        <v>20.12</v>
      </c>
      <c r="B194" s="433" t="str">
        <f>'Serviços eventuais'!C15</f>
        <v>Execução de junta de dilatação com selante elástico monocomponente a base de poliuretano 1x1cm</v>
      </c>
      <c r="C194" s="23" t="str">
        <f>'Serviços eventuais'!D15</f>
        <v>M</v>
      </c>
      <c r="D194" s="542">
        <f>'Serviços eventuais'!E15</f>
        <v>85</v>
      </c>
      <c r="E194" s="495">
        <f>'Serviços eventuais'!F15</f>
        <v>80.84</v>
      </c>
      <c r="F194" s="495">
        <f>'Serviços eventuais'!G15</f>
        <v>6871.4</v>
      </c>
      <c r="G194" s="510"/>
    </row>
    <row r="195" spans="1:7" s="435" customFormat="1" ht="31.5">
      <c r="A195" s="494" t="str">
        <f>'Serviços eventuais'!A16</f>
        <v>20.13</v>
      </c>
      <c r="B195" s="433" t="str">
        <f>'Serviços eventuais'!C16</f>
        <v>TRATAMENTO DE JUNTA SERRADA, COM TARUGO DE POLIETILENO E SELANTE À BASE DE SILICONE</v>
      </c>
      <c r="C195" s="23" t="str">
        <f>'Serviços eventuais'!D16</f>
        <v>M</v>
      </c>
      <c r="D195" s="542">
        <f>'Serviços eventuais'!E16</f>
        <v>45</v>
      </c>
      <c r="E195" s="495">
        <f>'Serviços eventuais'!F16</f>
        <v>54.69</v>
      </c>
      <c r="F195" s="495">
        <f>'Serviços eventuais'!G16</f>
        <v>2461.0500000000002</v>
      </c>
      <c r="G195" s="510"/>
    </row>
    <row r="196" spans="1:7" s="435" customFormat="1">
      <c r="A196" s="494" t="str">
        <f>'Serviços eventuais'!A17</f>
        <v>20.14</v>
      </c>
      <c r="B196" s="433" t="str">
        <f>'Serviços eventuais'!C17</f>
        <v>PISO PODOTÁTIL DE ALERTA OU DIRECIONAL, DE BORRACHA, ASSENTADO SOBRE ARGAMASSA</v>
      </c>
      <c r="C196" s="23" t="str">
        <f>'Serviços eventuais'!D17</f>
        <v>M</v>
      </c>
      <c r="D196" s="542">
        <f>'Serviços eventuais'!E17</f>
        <v>40</v>
      </c>
      <c r="E196" s="495">
        <f>'Serviços eventuais'!F17</f>
        <v>158.97</v>
      </c>
      <c r="F196" s="495">
        <f>'Serviços eventuais'!G17</f>
        <v>6358.8</v>
      </c>
      <c r="G196" s="510"/>
    </row>
    <row r="197" spans="1:7" s="435" customFormat="1">
      <c r="A197" s="494" t="str">
        <f>'Serviços eventuais'!A18</f>
        <v>20.15</v>
      </c>
      <c r="B197" s="433" t="str">
        <f>'Serviços eventuais'!C18</f>
        <v xml:space="preserve">Execução de Manutenção de MEMBRANA DE POLIURETANO PARA TRÁFEGO DE PEDESTRES </v>
      </c>
      <c r="C197" s="23" t="str">
        <f>'Serviços eventuais'!D18</f>
        <v>M2</v>
      </c>
      <c r="D197" s="542">
        <f>'Serviços eventuais'!E18</f>
        <v>570</v>
      </c>
      <c r="E197" s="495">
        <f>'Serviços eventuais'!F18</f>
        <v>47.796500000000002</v>
      </c>
      <c r="F197" s="495">
        <f>'Serviços eventuais'!G18</f>
        <v>27244.01</v>
      </c>
      <c r="G197" s="510"/>
    </row>
    <row r="198" spans="1:7" s="435" customFormat="1" ht="15" customHeight="1">
      <c r="A198" s="494" t="str">
        <f>'Serviços eventuais'!A19</f>
        <v>20.16</v>
      </c>
      <c r="B198" s="433" t="str">
        <f>'Serviços eventuais'!C19</f>
        <v>Execução de manutenção de MEMBRANA DE POLIURETANO PARA TRÁFEGO DE VEÍCULOS</v>
      </c>
      <c r="C198" s="23" t="str">
        <f>'Serviços eventuais'!D19</f>
        <v>M2</v>
      </c>
      <c r="D198" s="542">
        <f>'Serviços eventuais'!E19</f>
        <v>2500</v>
      </c>
      <c r="E198" s="495">
        <f>'Serviços eventuais'!F19</f>
        <v>44.442216000000002</v>
      </c>
      <c r="F198" s="495">
        <f>'Serviços eventuais'!G19</f>
        <v>111105.54</v>
      </c>
      <c r="G198" s="510"/>
    </row>
    <row r="199" spans="1:7" s="435" customFormat="1">
      <c r="A199" s="494" t="str">
        <f>'Serviços eventuais'!A20</f>
        <v>20.17</v>
      </c>
      <c r="B199" s="433" t="str">
        <f>'Serviços eventuais'!C20</f>
        <v>FORRO EM DRYWALL, PARA AMBIENTES COMERCIAIS, INCLUSIVE ESTRUTURA DE FIXAÇÃO</v>
      </c>
      <c r="C199" s="23" t="str">
        <f>'Serviços eventuais'!D20</f>
        <v>M2</v>
      </c>
      <c r="D199" s="542">
        <f>'Serviços eventuais'!E20</f>
        <v>120</v>
      </c>
      <c r="E199" s="495">
        <f>'Serviços eventuais'!F20</f>
        <v>72.55</v>
      </c>
      <c r="F199" s="495">
        <f>'Serviços eventuais'!G20</f>
        <v>8706</v>
      </c>
      <c r="G199" s="510"/>
    </row>
    <row r="200" spans="1:7" s="435" customFormat="1" ht="15" customHeight="1">
      <c r="A200" s="494" t="str">
        <f>'Serviços eventuais'!A21</f>
        <v>20.18</v>
      </c>
      <c r="B200" s="433" t="str">
        <f>'Serviços eventuais'!C21</f>
        <v>FORRO EM RÉGUAS DE PVC, FRISADO, PARA AMBIENTES COMERCIAIS, INCLUSIVE ESTRUTURA DE FIXAÇÃO</v>
      </c>
      <c r="C200" s="23" t="str">
        <f>'Serviços eventuais'!D21</f>
        <v>M2</v>
      </c>
      <c r="D200" s="542">
        <f>'Serviços eventuais'!E21</f>
        <v>20</v>
      </c>
      <c r="E200" s="495">
        <f>'Serviços eventuais'!F21</f>
        <v>64.37</v>
      </c>
      <c r="F200" s="495">
        <f>'Serviços eventuais'!G21</f>
        <v>1287.4000000000001</v>
      </c>
      <c r="G200" s="510"/>
    </row>
    <row r="201" spans="1:7" s="435" customFormat="1">
      <c r="A201" s="494" t="str">
        <f>'Serviços eventuais'!A22</f>
        <v>20.19</v>
      </c>
      <c r="B201" s="433" t="str">
        <f>'Serviços eventuais'!C22</f>
        <v>FORRO EM PLACAS DE GESSO, PARA AMBIENTES COMERCIAIS</v>
      </c>
      <c r="C201" s="23" t="str">
        <f>'Serviços eventuais'!D22</f>
        <v>M2</v>
      </c>
      <c r="D201" s="542">
        <f>'Serviços eventuais'!E22</f>
        <v>150</v>
      </c>
      <c r="E201" s="495">
        <f>'Serviços eventuais'!F22</f>
        <v>50.83</v>
      </c>
      <c r="F201" s="495">
        <f>'Serviços eventuais'!G22</f>
        <v>7624.5</v>
      </c>
      <c r="G201" s="510"/>
    </row>
    <row r="202" spans="1:7" s="435" customFormat="1">
      <c r="A202" s="494" t="str">
        <f>'Serviços eventuais'!A23</f>
        <v>20.20</v>
      </c>
      <c r="B202" s="433" t="str">
        <f>'Serviços eventuais'!C23</f>
        <v>ACABAMENTOS PARA FORRO (RODA-FORRO EM PERFIL METÁLICO E PLÁSTICO)</v>
      </c>
      <c r="C202" s="23" t="str">
        <f>'Serviços eventuais'!D23</f>
        <v>M</v>
      </c>
      <c r="D202" s="542">
        <f>'Serviços eventuais'!E23</f>
        <v>20</v>
      </c>
      <c r="E202" s="495">
        <f>'Serviços eventuais'!F23</f>
        <v>12.17</v>
      </c>
      <c r="F202" s="495">
        <f>'Serviços eventuais'!G23</f>
        <v>243.4</v>
      </c>
      <c r="G202" s="510"/>
    </row>
    <row r="203" spans="1:7" s="435" customFormat="1" ht="31.5">
      <c r="A203" s="494" t="str">
        <f>'Serviços eventuais'!A24</f>
        <v>20.21</v>
      </c>
      <c r="B203" s="433" t="str">
        <f>'Serviços eventuais'!C24</f>
        <v>AJUSTES E RECOLOCACO DE FORROS EM LAMBRIL DE MADEIRA DO REFEITÓRIO, CONSIDERANDO REAPROVEITAMENTO DO MATERIAL</v>
      </c>
      <c r="C203" s="23" t="str">
        <f>'Serviços eventuais'!D24</f>
        <v>M2</v>
      </c>
      <c r="D203" s="542">
        <f>'Serviços eventuais'!E24</f>
        <v>100</v>
      </c>
      <c r="E203" s="495">
        <f>'Serviços eventuais'!F24</f>
        <v>40.366</v>
      </c>
      <c r="F203" s="495">
        <f>'Serviços eventuais'!G24</f>
        <v>4036.6</v>
      </c>
      <c r="G203" s="510"/>
    </row>
    <row r="204" spans="1:7" s="435" customFormat="1">
      <c r="A204" s="494" t="str">
        <f>'Serviços eventuais'!A25</f>
        <v>20.22</v>
      </c>
      <c r="B204" s="433" t="str">
        <f>'Serviços eventuais'!C25</f>
        <v>Parede de dry-wall - instalada (interna, guia simples, sem vão)</v>
      </c>
      <c r="C204" s="23" t="str">
        <f>'Serviços eventuais'!D25</f>
        <v>M2</v>
      </c>
      <c r="D204" s="542">
        <f>'Serviços eventuais'!E25</f>
        <v>35</v>
      </c>
      <c r="E204" s="495">
        <f>'Serviços eventuais'!F25</f>
        <v>87.06</v>
      </c>
      <c r="F204" s="495">
        <f>'Serviços eventuais'!G25</f>
        <v>3047.1</v>
      </c>
      <c r="G204" s="510"/>
    </row>
    <row r="205" spans="1:7" s="435" customFormat="1" ht="31.5">
      <c r="A205" s="494" t="str">
        <f>'Serviços eventuais'!A26</f>
        <v>20.23</v>
      </c>
      <c r="B205" s="433" t="str">
        <f>'Serviços eventuais'!C26</f>
        <v>APLICAÇÃO MANUAL DE PINTURA COM TINTA TEXTURIZADA ACRÍLICA EM PAREDES EXTERNAS, MURETAS E JARDINEIRAS</v>
      </c>
      <c r="C205" s="23" t="str">
        <f>'Serviços eventuais'!D26</f>
        <v>M2</v>
      </c>
      <c r="D205" s="542">
        <f>'Serviços eventuais'!E26</f>
        <v>700</v>
      </c>
      <c r="E205" s="495">
        <f>'Serviços eventuais'!F26</f>
        <v>28.01</v>
      </c>
      <c r="F205" s="495">
        <f>'Serviços eventuais'!G26</f>
        <v>19607</v>
      </c>
      <c r="G205" s="510"/>
    </row>
    <row r="206" spans="1:7" s="435" customFormat="1">
      <c r="A206" s="494" t="str">
        <f>'Serviços eventuais'!A27</f>
        <v>20.24</v>
      </c>
      <c r="B206" s="433" t="str">
        <f>'Serviços eventuais'!C27</f>
        <v>APLICAÇÃO E LIXAMENTO DE MASSA LÁTEX EM TETO, DUAS DEMÃOS.</v>
      </c>
      <c r="C206" s="23" t="str">
        <f>'Serviços eventuais'!D27</f>
        <v>M2</v>
      </c>
      <c r="D206" s="542">
        <f>'Serviços eventuais'!E27</f>
        <v>150</v>
      </c>
      <c r="E206" s="495">
        <f>'Serviços eventuais'!F27</f>
        <v>36.78</v>
      </c>
      <c r="F206" s="495">
        <f>'Serviços eventuais'!G27</f>
        <v>5517</v>
      </c>
      <c r="G206" s="510"/>
    </row>
    <row r="207" spans="1:7" s="435" customFormat="1">
      <c r="A207" s="494" t="str">
        <f>'Serviços eventuais'!A28</f>
        <v>20.25</v>
      </c>
      <c r="B207" s="433" t="str">
        <f>'Serviços eventuais'!C28</f>
        <v>APLICAÇÃO E LIXAMENTO DE MASSA LÁTEX EM PAREDES, DUAS DEMÃOS.</v>
      </c>
      <c r="C207" s="23" t="str">
        <f>'Serviços eventuais'!D28</f>
        <v>M2</v>
      </c>
      <c r="D207" s="542">
        <f>'Serviços eventuais'!E28</f>
        <v>620</v>
      </c>
      <c r="E207" s="495">
        <f>'Serviços eventuais'!F28</f>
        <v>20.53</v>
      </c>
      <c r="F207" s="495">
        <f>'Serviços eventuais'!G28</f>
        <v>12728.6</v>
      </c>
      <c r="G207" s="510"/>
    </row>
    <row r="208" spans="1:7" s="435" customFormat="1">
      <c r="A208" s="494" t="str">
        <f>'Serviços eventuais'!A29</f>
        <v>20.26</v>
      </c>
      <c r="B208" s="433" t="str">
        <f>'Serviços eventuais'!C29</f>
        <v>APLICAÇÃO MANUAL DE PINTURA COM TINTA LÁTEX ACRÍLICA EM TETO, DUAS DEMÃOS.</v>
      </c>
      <c r="C208" s="23" t="str">
        <f>'Serviços eventuais'!D29</f>
        <v>M2</v>
      </c>
      <c r="D208" s="542">
        <f>'Serviços eventuais'!E29</f>
        <v>150</v>
      </c>
      <c r="E208" s="495">
        <f>'Serviços eventuais'!F29</f>
        <v>17.13</v>
      </c>
      <c r="F208" s="495">
        <f>'Serviços eventuais'!G29</f>
        <v>2569.5</v>
      </c>
      <c r="G208" s="510"/>
    </row>
    <row r="209" spans="1:7" s="435" customFormat="1">
      <c r="A209" s="494" t="str">
        <f>'Serviços eventuais'!A30</f>
        <v>20.27</v>
      </c>
      <c r="B209" s="433" t="str">
        <f>'Serviços eventuais'!C30</f>
        <v>APLICAÇÃO MANUAL DE PINTURA COM TINTA LÁTEX ACRÍLICA EM PAREDES, DUAS DEMÃOS.</v>
      </c>
      <c r="C209" s="23" t="str">
        <f>'Serviços eventuais'!D30</f>
        <v>M2</v>
      </c>
      <c r="D209" s="542">
        <f>'Serviços eventuais'!E30</f>
        <v>620</v>
      </c>
      <c r="E209" s="495">
        <f>'Serviços eventuais'!F30</f>
        <v>14.4</v>
      </c>
      <c r="F209" s="495">
        <f>'Serviços eventuais'!G30</f>
        <v>8928</v>
      </c>
      <c r="G209" s="510"/>
    </row>
    <row r="210" spans="1:7" s="435" customFormat="1">
      <c r="A210" s="494" t="str">
        <f>'Serviços eventuais'!A31</f>
        <v>20.28</v>
      </c>
      <c r="B210" s="433" t="str">
        <f>'Serviços eventuais'!C31</f>
        <v>PINTURA ESMALTE ACETINADO EM MADEIRA, DUAS DEMAOS COM LIXAMENTO</v>
      </c>
      <c r="C210" s="23" t="str">
        <f>'Serviços eventuais'!D31</f>
        <v>M2</v>
      </c>
      <c r="D210" s="542">
        <f>'Serviços eventuais'!E31</f>
        <v>180</v>
      </c>
      <c r="E210" s="495">
        <f>'Serviços eventuais'!F31</f>
        <v>27.744</v>
      </c>
      <c r="F210" s="495">
        <f>'Serviços eventuais'!G31</f>
        <v>4993.92</v>
      </c>
      <c r="G210" s="510"/>
    </row>
    <row r="211" spans="1:7" s="435" customFormat="1">
      <c r="A211" s="494" t="str">
        <f>'Serviços eventuais'!A32</f>
        <v>20.29</v>
      </c>
      <c r="B211" s="433" t="str">
        <f>'Serviços eventuais'!C32</f>
        <v>VERNIZ SINTETICO EM MADEIRA, 3 DEMAOS, incolor, COM LIXAMENTO</v>
      </c>
      <c r="C211" s="23" t="str">
        <f>'Serviços eventuais'!D32</f>
        <v>M2</v>
      </c>
      <c r="D211" s="542">
        <f>'Serviços eventuais'!E32</f>
        <v>120</v>
      </c>
      <c r="E211" s="495">
        <f>'Serviços eventuais'!F32</f>
        <v>31.917888000000005</v>
      </c>
      <c r="F211" s="495">
        <f>'Serviços eventuais'!G32</f>
        <v>3830.15</v>
      </c>
      <c r="G211" s="510"/>
    </row>
    <row r="212" spans="1:7" s="435" customFormat="1" ht="31.5">
      <c r="A212" s="494" t="str">
        <f>'Serviços eventuais'!A33</f>
        <v>20.30</v>
      </c>
      <c r="B212" s="433" t="str">
        <f>'Serviços eventuais'!C33</f>
        <v>PINTURA COM TINTA PROTETORA ACABAMENTO GRAFITE ESMALTE SOBRE SUPERFICIE METALICA, 2 DEMAOS</v>
      </c>
      <c r="C212" s="23" t="str">
        <f>'Serviços eventuais'!D33</f>
        <v>M2</v>
      </c>
      <c r="D212" s="542">
        <f>'Serviços eventuais'!E33</f>
        <v>60</v>
      </c>
      <c r="E212" s="495">
        <f>'Serviços eventuais'!F33</f>
        <v>55.675100000000008</v>
      </c>
      <c r="F212" s="495">
        <f>'Serviços eventuais'!G33</f>
        <v>3340.51</v>
      </c>
      <c r="G212" s="510"/>
    </row>
    <row r="213" spans="1:7" s="435" customFormat="1" ht="31.5">
      <c r="A213" s="494" t="str">
        <f>'Serviços eventuais'!A34</f>
        <v>20.31</v>
      </c>
      <c r="B213" s="433" t="str">
        <f>'Serviços eventuais'!C34</f>
        <v>PINTURA ESMALTE ACETINADO, DUAS DEMAOS, SOBRE SUPERFICIE METALICA - VIGAS METALICAS INTERNAS</v>
      </c>
      <c r="C213" s="23" t="str">
        <f>'Serviços eventuais'!D34</f>
        <v>M2</v>
      </c>
      <c r="D213" s="542">
        <f>'Serviços eventuais'!E34</f>
        <v>240</v>
      </c>
      <c r="E213" s="495">
        <f>'Serviços eventuais'!F34</f>
        <v>41.026300000000006</v>
      </c>
      <c r="F213" s="495">
        <f>'Serviços eventuais'!G34</f>
        <v>9846.31</v>
      </c>
      <c r="G213" s="510"/>
    </row>
    <row r="214" spans="1:7" s="435" customFormat="1" ht="31.5">
      <c r="A214" s="494" t="str">
        <f>'Serviços eventuais'!A35</f>
        <v>20.32</v>
      </c>
      <c r="B214" s="433" t="str">
        <f>'Serviços eventuais'!C35</f>
        <v>FUNDO PREPARADOR PRIMER SINTETICO, PARA ESTRUTURA METALICA, UMA DEMÃO, ESPESSURA DE 25 MICRA</v>
      </c>
      <c r="C214" s="23" t="str">
        <f>'Serviços eventuais'!D35</f>
        <v>M2</v>
      </c>
      <c r="D214" s="542">
        <f>'Serviços eventuais'!E35</f>
        <v>100</v>
      </c>
      <c r="E214" s="495">
        <f>'Serviços eventuais'!F35</f>
        <v>10.984366</v>
      </c>
      <c r="F214" s="495">
        <f>'Serviços eventuais'!G35</f>
        <v>1098.44</v>
      </c>
      <c r="G214" s="510"/>
    </row>
    <row r="215" spans="1:7" s="435" customFormat="1">
      <c r="A215" s="494" t="str">
        <f>'Serviços eventuais'!A36</f>
        <v>20.33</v>
      </c>
      <c r="B215" s="433" t="str">
        <f>'Serviços eventuais'!C36</f>
        <v>PINTURA DE BATE RODAS INSTALADOS NOS SUBSOLOS</v>
      </c>
      <c r="C215" s="23" t="str">
        <f>'Serviços eventuais'!D36</f>
        <v>M2</v>
      </c>
      <c r="D215" s="542">
        <f>'Serviços eventuais'!E36</f>
        <v>150</v>
      </c>
      <c r="E215" s="495">
        <f>'Serviços eventuais'!F36</f>
        <v>41.026300000000006</v>
      </c>
      <c r="F215" s="495">
        <f>'Serviços eventuais'!G36</f>
        <v>6153.95</v>
      </c>
      <c r="G215" s="510"/>
    </row>
    <row r="216" spans="1:7" s="435" customFormat="1">
      <c r="A216" s="494" t="str">
        <f>'Serviços eventuais'!A37</f>
        <v>20.34</v>
      </c>
      <c r="B216" s="433" t="str">
        <f>'Serviços eventuais'!C37</f>
        <v>REVESTIMENTO EM LAMINADO MELAMINICO LISO, ESPESSURA 0,8 MM, FIXADO COM COLA</v>
      </c>
      <c r="C216" s="23" t="str">
        <f>'Serviços eventuais'!D37</f>
        <v>M2</v>
      </c>
      <c r="D216" s="542">
        <f>'Serviços eventuais'!E37</f>
        <v>25</v>
      </c>
      <c r="E216" s="495">
        <f>'Serviços eventuais'!F37</f>
        <v>120.3486</v>
      </c>
      <c r="F216" s="495">
        <f>'Serviços eventuais'!G37</f>
        <v>3008.72</v>
      </c>
      <c r="G216" s="510"/>
    </row>
    <row r="217" spans="1:7" s="435" customFormat="1">
      <c r="A217" s="494" t="str">
        <f>'Serviços eventuais'!A38</f>
        <v>20.35</v>
      </c>
      <c r="B217" s="433" t="str">
        <f>'Serviços eventuais'!C38</f>
        <v>CANTONEIRA DE ALUMINIO 1"X1, PARA PROTECAO DE QUINA DE PAREDE</v>
      </c>
      <c r="C217" s="23" t="str">
        <f>'Serviços eventuais'!D38</f>
        <v>M</v>
      </c>
      <c r="D217" s="542">
        <f>'Serviços eventuais'!E38</f>
        <v>15</v>
      </c>
      <c r="E217" s="495">
        <f>'Serviços eventuais'!F38</f>
        <v>64.897999999999996</v>
      </c>
      <c r="F217" s="495">
        <f>'Serviços eventuais'!G38</f>
        <v>973.47</v>
      </c>
      <c r="G217" s="510"/>
    </row>
    <row r="218" spans="1:7" s="435" customFormat="1">
      <c r="A218" s="494" t="str">
        <f>'Serviços eventuais'!A39</f>
        <v>20.36</v>
      </c>
      <c r="B218" s="433" t="str">
        <f>'Serviços eventuais'!C39</f>
        <v>ISOLAMENTO TERMICO COM MANTA DE LA DE VIDRO, ESPESSURA 2,5CM</v>
      </c>
      <c r="C218" s="23" t="str">
        <f>'Serviços eventuais'!D39</f>
        <v>M2</v>
      </c>
      <c r="D218" s="542">
        <f>'Serviços eventuais'!E39</f>
        <v>20</v>
      </c>
      <c r="E218" s="495">
        <f>'Serviços eventuais'!F39</f>
        <v>105.6645</v>
      </c>
      <c r="F218" s="495">
        <f>'Serviços eventuais'!G39</f>
        <v>2113.29</v>
      </c>
      <c r="G218" s="510"/>
    </row>
    <row r="219" spans="1:7" s="435" customFormat="1">
      <c r="A219" s="494" t="str">
        <f>'Serviços eventuais'!A40</f>
        <v>20.37</v>
      </c>
      <c r="B219" s="433" t="str">
        <f>'Serviços eventuais'!C40</f>
        <v>Persiana horizontal em alumínio branca ou cinza 16mm</v>
      </c>
      <c r="C219" s="23" t="str">
        <f>'Serviços eventuais'!D40</f>
        <v>M2</v>
      </c>
      <c r="D219" s="542">
        <f>'Serviços eventuais'!E40</f>
        <v>50</v>
      </c>
      <c r="E219" s="495">
        <f>'Serviços eventuais'!F40</f>
        <v>133.72</v>
      </c>
      <c r="F219" s="495">
        <f>'Serviços eventuais'!G40</f>
        <v>6686</v>
      </c>
      <c r="G219" s="510"/>
    </row>
    <row r="220" spans="1:7" s="435" customFormat="1">
      <c r="A220" s="494" t="str">
        <f>'Serviços eventuais'!A41</f>
        <v>20.38</v>
      </c>
      <c r="B220" s="433" t="str">
        <f>'Serviços eventuais'!C41</f>
        <v xml:space="preserve">Persiana rolon </v>
      </c>
      <c r="C220" s="23" t="str">
        <f>'Serviços eventuais'!D41</f>
        <v>M2</v>
      </c>
      <c r="D220" s="542">
        <f>'Serviços eventuais'!E41</f>
        <v>30</v>
      </c>
      <c r="E220" s="495">
        <f>'Serviços eventuais'!F41</f>
        <v>421.84</v>
      </c>
      <c r="F220" s="495">
        <f>'Serviços eventuais'!G41</f>
        <v>12655.2</v>
      </c>
      <c r="G220" s="510"/>
    </row>
    <row r="221" spans="1:7" s="435" customFormat="1" ht="31.5">
      <c r="A221" s="494" t="str">
        <f>'Serviços eventuais'!A42</f>
        <v>20.39</v>
      </c>
      <c r="B221" s="433" t="str">
        <f>'Serviços eventuais'!C42</f>
        <v>ALIZAR / GUARNIÇÃO DE 5X1,5CM PARA PORTA DE 60X210CM FIXADO COM PREGOS, PADRÃO MÉDIO - FORNECIMENTO E INSTALAÇÃO.</v>
      </c>
      <c r="C221" s="23" t="str">
        <f>'Serviços eventuais'!D42</f>
        <v>M</v>
      </c>
      <c r="D221" s="542">
        <f>'Serviços eventuais'!E42</f>
        <v>30</v>
      </c>
      <c r="E221" s="495">
        <f>'Serviços eventuais'!F42</f>
        <v>15.46</v>
      </c>
      <c r="F221" s="495">
        <f>'Serviços eventuais'!G42</f>
        <v>463.8</v>
      </c>
      <c r="G221" s="510"/>
    </row>
    <row r="222" spans="1:7" s="435" customFormat="1" ht="31.5">
      <c r="A222" s="494" t="str">
        <f>'Serviços eventuais'!A43</f>
        <v>20.40</v>
      </c>
      <c r="B222" s="433" t="str">
        <f>'Serviços eventuais'!C43</f>
        <v>PORTA DE MADEIRA PARA PINTURA, SEMI-OCA (LEVE OU MÉDIA), 90X210CM, ESPESSURA DE 3,5CM, INCLUSO DOBRADIÇAS - FORNECIMENTO E INSTALAÇÃO.</v>
      </c>
      <c r="C222" s="23" t="str">
        <f>'Serviços eventuais'!D43</f>
        <v>UN</v>
      </c>
      <c r="D222" s="542">
        <f>'Serviços eventuais'!E43</f>
        <v>3</v>
      </c>
      <c r="E222" s="495">
        <f>'Serviços eventuais'!F43</f>
        <v>527.98</v>
      </c>
      <c r="F222" s="495">
        <f>'Serviços eventuais'!G43</f>
        <v>1583.94</v>
      </c>
      <c r="G222" s="510"/>
    </row>
    <row r="223" spans="1:7" s="435" customFormat="1" ht="31.5">
      <c r="A223" s="494" t="str">
        <f>'Serviços eventuais'!A44</f>
        <v>20.41</v>
      </c>
      <c r="B223" s="433" t="str">
        <f>'Serviços eventuais'!C44</f>
        <v>PORTA EM ALUMÍNIO DE ABRIR TIPO VENEZIANA COM GUARNIÇÃO, FIXAÇÃO COM PARAFUSOS, FORNECIMENTO E INSTALAÇÃO</v>
      </c>
      <c r="C223" s="23" t="str">
        <f>'Serviços eventuais'!D44</f>
        <v>M2</v>
      </c>
      <c r="D223" s="542">
        <f>'Serviços eventuais'!E44</f>
        <v>2</v>
      </c>
      <c r="E223" s="495">
        <f>'Serviços eventuais'!F44</f>
        <v>666.28</v>
      </c>
      <c r="F223" s="495">
        <f>'Serviços eventuais'!G44</f>
        <v>1332.56</v>
      </c>
      <c r="G223" s="510"/>
    </row>
    <row r="224" spans="1:7" s="435" customFormat="1">
      <c r="A224" s="494" t="str">
        <f>'Serviços eventuais'!A45</f>
        <v>20.42</v>
      </c>
      <c r="B224" s="433" t="str">
        <f>'Serviços eventuais'!C45</f>
        <v>PORTA CORTA-FOGO 90X210X4CM - FORNECIMENTO E INSTALAÇÃO</v>
      </c>
      <c r="C224" s="23" t="str">
        <f>'Serviços eventuais'!D45</f>
        <v>UN</v>
      </c>
      <c r="D224" s="542">
        <f>'Serviços eventuais'!E45</f>
        <v>1</v>
      </c>
      <c r="E224" s="495">
        <f>'Serviços eventuais'!F45</f>
        <v>1339.96</v>
      </c>
      <c r="F224" s="495">
        <f>'Serviços eventuais'!G45</f>
        <v>1339.96</v>
      </c>
      <c r="G224" s="510"/>
    </row>
    <row r="225" spans="1:7" s="435" customFormat="1" ht="47.25">
      <c r="A225" s="494" t="str">
        <f>'Serviços eventuais'!A46</f>
        <v>20.43</v>
      </c>
      <c r="B225" s="433" t="str">
        <f>'Serviços eventuais'!C46</f>
        <v>KIT DE PORTA DE MADEIRA PARA PINTURA, SEMI-OCA (LEVE OU MÉDIA), PADRÃO MÉDIO, 90X210CM, ESPESSURA DE 3,5CM, ITENS INCLUSOS: DOBRADIÇAS, MONTAGEM E INSTALAÇÃO DO BATENTE, FECHADURA COM EXECUÇÃO DO FURO - FORNECIMENTO E INSTALAÇÃO</v>
      </c>
      <c r="C225" s="23" t="str">
        <f>'Serviços eventuais'!D46</f>
        <v>UN</v>
      </c>
      <c r="D225" s="542">
        <f>'Serviços eventuais'!E46</f>
        <v>1</v>
      </c>
      <c r="E225" s="495">
        <f>'Serviços eventuais'!F46</f>
        <v>1470.14</v>
      </c>
      <c r="F225" s="495">
        <f>'Serviços eventuais'!G46</f>
        <v>1470.14</v>
      </c>
      <c r="G225" s="510"/>
    </row>
    <row r="226" spans="1:7" s="435" customFormat="1" ht="31.5">
      <c r="A226" s="494" t="str">
        <f>'Serviços eventuais'!A47</f>
        <v>20.44</v>
      </c>
      <c r="B226" s="433" t="str">
        <f>'Serviços eventuais'!C47</f>
        <v xml:space="preserve">PORTA DE MADEIRA, SEMI-OCA (LEVE OU MÉDIA), 80X210CM, ESPESSURA DE 3,5CM, INCLUSO DOBRADIÇAS - FORNECIMENTO E INSTALAÇÃO. </v>
      </c>
      <c r="C226" s="23" t="str">
        <f>'Serviços eventuais'!D47</f>
        <v>UN</v>
      </c>
      <c r="D226" s="542">
        <f>'Serviços eventuais'!E47</f>
        <v>2</v>
      </c>
      <c r="E226" s="495">
        <f>'Serviços eventuais'!F47</f>
        <v>493.68</v>
      </c>
      <c r="F226" s="495">
        <f>'Serviços eventuais'!G47</f>
        <v>987.36</v>
      </c>
      <c r="G226" s="510"/>
    </row>
    <row r="227" spans="1:7" s="435" customFormat="1">
      <c r="A227" s="494" t="str">
        <f>'Serviços eventuais'!A48</f>
        <v>20.45</v>
      </c>
      <c r="B227" s="433" t="str">
        <f>'Serviços eventuais'!C48</f>
        <v>Pintura com esmalte retardante ao fogo (para porta corta-fogo)</v>
      </c>
      <c r="C227" s="23" t="str">
        <f>'Serviços eventuais'!D48</f>
        <v>M2</v>
      </c>
      <c r="D227" s="542">
        <f>'Serviços eventuais'!E48</f>
        <v>24</v>
      </c>
      <c r="E227" s="495">
        <f>'Serviços eventuais'!F48</f>
        <v>46.743108888888898</v>
      </c>
      <c r="F227" s="495">
        <f>'Serviços eventuais'!G48</f>
        <v>1121.83</v>
      </c>
      <c r="G227" s="510"/>
    </row>
    <row r="228" spans="1:7" s="435" customFormat="1">
      <c r="A228" s="494" t="str">
        <f>'Serviços eventuais'!A49</f>
        <v>20.46</v>
      </c>
      <c r="B228" s="433" t="str">
        <f>'Serviços eventuais'!C49</f>
        <v>RETIRADA DE DIVISORIAS EM CHAPAS DE MADEIRA, COM MONTANTES METALICOS</v>
      </c>
      <c r="C228" s="23" t="str">
        <f>'Serviços eventuais'!D49</f>
        <v>M2</v>
      </c>
      <c r="D228" s="542">
        <f>'Serviços eventuais'!E49</f>
        <v>168</v>
      </c>
      <c r="E228" s="495">
        <f>'Serviços eventuais'!F49</f>
        <v>37.031999999999996</v>
      </c>
      <c r="F228" s="495">
        <f>'Serviços eventuais'!G49</f>
        <v>6221.38</v>
      </c>
      <c r="G228" s="510"/>
    </row>
    <row r="229" spans="1:7" s="435" customFormat="1" ht="31.5">
      <c r="A229" s="494" t="str">
        <f>'Serviços eventuais'!A50</f>
        <v>20.47</v>
      </c>
      <c r="B229" s="433" t="str">
        <f>'Serviços eventuais'!C50</f>
        <v>RECOLOCACAO DE DIVISORIAS TIPO CHAPAS OU TABUAS, INCLUSIVE ENTARUGAMENTO, CONSIDERANDO REAPROVEITAMENTO DO MATERIAL</v>
      </c>
      <c r="C229" s="23" t="str">
        <f>'Serviços eventuais'!D50</f>
        <v>M2</v>
      </c>
      <c r="D229" s="542">
        <f>'Serviços eventuais'!E50</f>
        <v>100</v>
      </c>
      <c r="E229" s="495">
        <f>'Serviços eventuais'!F50</f>
        <v>48.276000000000003</v>
      </c>
      <c r="F229" s="495">
        <f>'Serviços eventuais'!G50</f>
        <v>4827.6000000000004</v>
      </c>
      <c r="G229" s="510"/>
    </row>
    <row r="230" spans="1:7" s="435" customFormat="1">
      <c r="A230" s="494" t="str">
        <f>'Serviços eventuais'!A51</f>
        <v>20.48</v>
      </c>
      <c r="B230" s="433" t="str">
        <f>'Serviços eventuais'!C51</f>
        <v>CORRIMÃO SIMPLES, DIÂMETRO EXTERNO = 1 1/2, EM AÇO GALVANIZADO</v>
      </c>
      <c r="C230" s="23" t="str">
        <f>'Serviços eventuais'!D51</f>
        <v>M</v>
      </c>
      <c r="D230" s="542">
        <f>'Serviços eventuais'!E51</f>
        <v>12</v>
      </c>
      <c r="E230" s="495">
        <f>'Serviços eventuais'!F51</f>
        <v>93.52</v>
      </c>
      <c r="F230" s="495">
        <f>'Serviços eventuais'!G51</f>
        <v>1122.24</v>
      </c>
      <c r="G230" s="510"/>
    </row>
    <row r="231" spans="1:7" s="435" customFormat="1">
      <c r="A231" s="494" t="str">
        <f>'Serviços eventuais'!A52</f>
        <v>20.49</v>
      </c>
      <c r="B231" s="433" t="str">
        <f>'Serviços eventuais'!C52</f>
        <v>CORRIMÃO SIMPLES, DIÂMETRO EXTERNO = 1 1/2, EM ALUMÍNIO</v>
      </c>
      <c r="C231" s="23" t="str">
        <f>'Serviços eventuais'!D52</f>
        <v>M</v>
      </c>
      <c r="D231" s="542">
        <f>'Serviços eventuais'!E52</f>
        <v>12</v>
      </c>
      <c r="E231" s="495">
        <f>'Serviços eventuais'!F52</f>
        <v>65.98</v>
      </c>
      <c r="F231" s="495">
        <f>'Serviços eventuais'!G52</f>
        <v>791.76</v>
      </c>
      <c r="G231" s="510"/>
    </row>
    <row r="232" spans="1:7" s="435" customFormat="1" ht="13.5" customHeight="1">
      <c r="A232" s="494" t="str">
        <f>'Serviços eventuais'!A53</f>
        <v>20.50</v>
      </c>
      <c r="B232" s="433" t="str">
        <f>'Serviços eventuais'!C53</f>
        <v>EXECUÇÃO DE REVESTIMENTO DE PAREDES E LAMBRIL DE MADEIRA</v>
      </c>
      <c r="C232" s="23" t="str">
        <f>'Serviços eventuais'!D53</f>
        <v>M2</v>
      </c>
      <c r="D232" s="542">
        <f>'Serviços eventuais'!E53</f>
        <v>130</v>
      </c>
      <c r="E232" s="495">
        <f>'Serviços eventuais'!F53</f>
        <v>119.65279799999999</v>
      </c>
      <c r="F232" s="495">
        <f>'Serviços eventuais'!G53</f>
        <v>15554.86</v>
      </c>
      <c r="G232" s="510"/>
    </row>
    <row r="233" spans="1:7" s="435" customFormat="1">
      <c r="A233" s="494" t="str">
        <f>'Serviços eventuais'!A54</f>
        <v>20.51</v>
      </c>
      <c r="B233" s="433" t="str">
        <f>'Serviços eventuais'!C54</f>
        <v>ESPELHO CRISTAL, ESPESSURA 4MM, COM PARAFUSOS DE FIXACAO, SEM MOLDURA</v>
      </c>
      <c r="C233" s="23" t="str">
        <f>'Serviços eventuais'!D54</f>
        <v>M2</v>
      </c>
      <c r="D233" s="542">
        <f>'Serviços eventuais'!E54</f>
        <v>4</v>
      </c>
      <c r="E233" s="495">
        <f>'Serviços eventuais'!F54</f>
        <v>527.68399999999997</v>
      </c>
      <c r="F233" s="495">
        <f>'Serviços eventuais'!G54</f>
        <v>2110.7399999999998</v>
      </c>
      <c r="G233" s="510"/>
    </row>
    <row r="234" spans="1:7" s="435" customFormat="1" ht="31.5">
      <c r="A234" s="494" t="str">
        <f>'Serviços eventuais'!A55</f>
        <v>20.52</v>
      </c>
      <c r="B234" s="433" t="str">
        <f>'Serviços eventuais'!C55</f>
        <v>REVESTIMENTO CERÂMICO PARA PAREDES EXTERNAS EM PASTILHAS DE VIDRO 3 X 3 CM (PLACAS DE 30 X 30 CM), ALINHADAS A PRUMO</v>
      </c>
      <c r="C234" s="23" t="str">
        <f>'Serviços eventuais'!D55</f>
        <v>M2</v>
      </c>
      <c r="D234" s="542">
        <f>'Serviços eventuais'!E55</f>
        <v>10</v>
      </c>
      <c r="E234" s="495">
        <f>'Serviços eventuais'!F55</f>
        <v>400.12</v>
      </c>
      <c r="F234" s="495">
        <f>'Serviços eventuais'!G55</f>
        <v>4001.2</v>
      </c>
      <c r="G234" s="510"/>
    </row>
    <row r="235" spans="1:7" s="435" customFormat="1" ht="47.25">
      <c r="A235" s="494" t="str">
        <f>'Serviços eventuais'!A56</f>
        <v>20.53</v>
      </c>
      <c r="B235" s="433" t="str">
        <f>'Serviços eventuais'!C56</f>
        <v>REVESTIMENTO CERÂMICO PARA PAREDES INTERNAS COM PLACAS TIPO ESMALTADA EXTRA DE DIMENSÕES 20X20 CM APLICADAS EM AMBIENTES DE ÁREA MENOR QUE 5 M² NA ALTURA INTEIRA DAS PAREDES</v>
      </c>
      <c r="C235" s="23" t="str">
        <f>'Serviços eventuais'!D56</f>
        <v>M2</v>
      </c>
      <c r="D235" s="542">
        <f>'Serviços eventuais'!E56</f>
        <v>60</v>
      </c>
      <c r="E235" s="495">
        <f>'Serviços eventuais'!F56</f>
        <v>64.680000000000007</v>
      </c>
      <c r="F235" s="495">
        <f>'Serviços eventuais'!G56</f>
        <v>3880.8</v>
      </c>
      <c r="G235" s="510"/>
    </row>
    <row r="236" spans="1:7" s="435" customFormat="1" ht="31.5">
      <c r="A236" s="494" t="str">
        <f>'Serviços eventuais'!A57</f>
        <v>20.54</v>
      </c>
      <c r="B236" s="433" t="str">
        <f>'Serviços eventuais'!C57</f>
        <v>IMPERMEABILIZAÇÃO CAIXA D'AGUA SUPERIOR com ARGAMASSA POLIMÉRICA COM ESPESSURA DE 1,0mm + MEMBRANA ACRÍLICA COM CIMENTO, COM ESPESSURA DE 3,0mm - 4 demãos</v>
      </c>
      <c r="C236" s="23" t="str">
        <f>'Serviços eventuais'!D57</f>
        <v>M2</v>
      </c>
      <c r="D236" s="542">
        <f>'Serviços eventuais'!E57</f>
        <v>110</v>
      </c>
      <c r="E236" s="495">
        <f>'Serviços eventuais'!F57</f>
        <v>64.59</v>
      </c>
      <c r="F236" s="495">
        <f>'Serviços eventuais'!G57</f>
        <v>7104.9</v>
      </c>
      <c r="G236" s="510"/>
    </row>
    <row r="237" spans="1:7" s="435" customFormat="1">
      <c r="A237" s="494" t="str">
        <f>'Serviços eventuais'!A58</f>
        <v>20.55</v>
      </c>
      <c r="B237" s="433" t="str">
        <f>'Serviços eventuais'!C58</f>
        <v>Pintura de concreto aparente, com lixamento e preparação de base, com resina acrilica impermeabilizante, 2 DEMAOS</v>
      </c>
      <c r="C237" s="23" t="str">
        <f>'Serviços eventuais'!D58</f>
        <v>M2</v>
      </c>
      <c r="D237" s="542">
        <f>'Serviços eventuais'!E58</f>
        <v>120</v>
      </c>
      <c r="E237" s="495">
        <f>'Serviços eventuais'!F58</f>
        <v>76.337400000000002</v>
      </c>
      <c r="F237" s="495">
        <f>'Serviços eventuais'!G58</f>
        <v>9160.49</v>
      </c>
      <c r="G237" s="510"/>
    </row>
    <row r="238" spans="1:7" s="435" customFormat="1" ht="31.5">
      <c r="A238" s="494" t="str">
        <f>'Serviços eventuais'!A59</f>
        <v>20.56</v>
      </c>
      <c r="B238" s="433" t="str">
        <f>'Serviços eventuais'!C59</f>
        <v>VIDRO TEMPERADO VERDE, ESPESSURA 10MM, FORNECIMENTO E INSTALACAO, INCLUSIVE MASSA PARA VEDACAO</v>
      </c>
      <c r="C238" s="23" t="str">
        <f>'Serviços eventuais'!D59</f>
        <v>M2</v>
      </c>
      <c r="D238" s="542">
        <f>'Serviços eventuais'!E59</f>
        <v>30</v>
      </c>
      <c r="E238" s="495">
        <f>'Serviços eventuais'!F59</f>
        <v>427.28499999999997</v>
      </c>
      <c r="F238" s="495">
        <f>'Serviços eventuais'!G59</f>
        <v>12818.55</v>
      </c>
      <c r="G238" s="510"/>
    </row>
    <row r="239" spans="1:7" s="435" customFormat="1">
      <c r="A239" s="494" t="str">
        <f>'Serviços eventuais'!A60</f>
        <v>20.57</v>
      </c>
      <c r="B239" s="433" t="str">
        <f>'Serviços eventuais'!C60</f>
        <v>INSTALAÇÃO DE VIDRO LAMINADO, E = 10 MM, ENCAIXADO EM PERFIL U</v>
      </c>
      <c r="C239" s="23" t="str">
        <f>'Serviços eventuais'!D60</f>
        <v>M2</v>
      </c>
      <c r="D239" s="542">
        <f>'Serviços eventuais'!E60</f>
        <v>15</v>
      </c>
      <c r="E239" s="495">
        <f>'Serviços eventuais'!F60</f>
        <v>938.59271000000012</v>
      </c>
      <c r="F239" s="495">
        <f>'Serviços eventuais'!G60</f>
        <v>14078.89</v>
      </c>
      <c r="G239" s="510"/>
    </row>
    <row r="240" spans="1:7" s="435" customFormat="1" ht="31.5">
      <c r="A240" s="494" t="str">
        <f>'Serviços eventuais'!A61</f>
        <v>20.58</v>
      </c>
      <c r="B240" s="433" t="str">
        <f>'Serviços eventuais'!C61</f>
        <v>Limpeza e manutenção de PAINEL DE PROTEÇÃO SOLAR COM ESQUADRIA DE ALUMÍNIO, PAINEIS PERTECH E VIDROS CASCATA e demais elementos de fachada</v>
      </c>
      <c r="C240" s="23" t="str">
        <f>'Serviços eventuais'!D61</f>
        <v>UNID</v>
      </c>
      <c r="D240" s="542">
        <f>'Serviços eventuais'!E61</f>
        <v>1</v>
      </c>
      <c r="E240" s="495">
        <f>'Serviços eventuais'!F61</f>
        <v>12471.44</v>
      </c>
      <c r="F240" s="495">
        <f>'Serviços eventuais'!G61</f>
        <v>12471.44</v>
      </c>
      <c r="G240" s="510"/>
    </row>
    <row r="241" spans="1:7" s="435" customFormat="1">
      <c r="A241" s="494" t="str">
        <f>'Serviços eventuais'!A62</f>
        <v>20.59</v>
      </c>
      <c r="B241" s="433" t="str">
        <f>'Serviços eventuais'!C62</f>
        <v>Manutenção e pintura de vigas e elementos metálicos das fachadas norte e sul</v>
      </c>
      <c r="C241" s="23" t="str">
        <f>'Serviços eventuais'!D62</f>
        <v>M2</v>
      </c>
      <c r="D241" s="542">
        <f>'Serviços eventuais'!E62</f>
        <v>230</v>
      </c>
      <c r="E241" s="495">
        <f>'Serviços eventuais'!F62</f>
        <v>197.47863799999999</v>
      </c>
      <c r="F241" s="495">
        <f>'Serviços eventuais'!G62</f>
        <v>45420.09</v>
      </c>
      <c r="G241" s="510"/>
    </row>
    <row r="242" spans="1:7" s="435" customFormat="1">
      <c r="A242" s="494" t="str">
        <f>'Serviços eventuais'!A63</f>
        <v>20.60</v>
      </c>
      <c r="B242" s="433" t="str">
        <f>'Serviços eventuais'!C63</f>
        <v>PLANTIO DE FORRAÇÃO</v>
      </c>
      <c r="C242" s="23" t="str">
        <f>'Serviços eventuais'!D63</f>
        <v>M2</v>
      </c>
      <c r="D242" s="542">
        <f>'Serviços eventuais'!E63</f>
        <v>50</v>
      </c>
      <c r="E242" s="495">
        <f>'Serviços eventuais'!F63</f>
        <v>70.36</v>
      </c>
      <c r="F242" s="495">
        <f>'Serviços eventuais'!G63</f>
        <v>3518</v>
      </c>
      <c r="G242" s="510"/>
    </row>
    <row r="243" spans="1:7" s="435" customFormat="1">
      <c r="A243" s="494" t="str">
        <f>'Serviços eventuais'!A64</f>
        <v>20.61</v>
      </c>
      <c r="B243" s="433" t="str">
        <f>'Serviços eventuais'!C64</f>
        <v>PLANTIO DE ARBUSTO OU CERCA VIVA</v>
      </c>
      <c r="C243" s="23" t="str">
        <f>'Serviços eventuais'!D64</f>
        <v>um</v>
      </c>
      <c r="D243" s="542">
        <f>'Serviços eventuais'!E64</f>
        <v>20</v>
      </c>
      <c r="E243" s="495">
        <f>'Serviços eventuais'!F64</f>
        <v>46.22</v>
      </c>
      <c r="F243" s="495">
        <f>'Serviços eventuais'!G64</f>
        <v>924.4</v>
      </c>
      <c r="G243" s="510"/>
    </row>
    <row r="244" spans="1:7" s="435" customFormat="1">
      <c r="A244" s="494" t="str">
        <f>'Serviços eventuais'!A65</f>
        <v>20.62</v>
      </c>
      <c r="B244" s="433" t="str">
        <f>'Serviços eventuais'!C65</f>
        <v>PLANTIO DE GRAMA ESMERALDA OU SÃO CARLOS OU CURITIBANA, EM PLACAS</v>
      </c>
      <c r="C244" s="23" t="str">
        <f>'Serviços eventuais'!D65</f>
        <v>M2</v>
      </c>
      <c r="D244" s="542">
        <f>'Serviços eventuais'!E65</f>
        <v>250</v>
      </c>
      <c r="E244" s="495">
        <f>'Serviços eventuais'!F65</f>
        <v>20.3</v>
      </c>
      <c r="F244" s="495">
        <f>'Serviços eventuais'!G65</f>
        <v>5075</v>
      </c>
      <c r="G244" s="510"/>
    </row>
    <row r="245" spans="1:7" s="435" customFormat="1" ht="31.5">
      <c r="A245" s="494" t="str">
        <f>'Serviços eventuais'!A66</f>
        <v>20.63</v>
      </c>
      <c r="B245" s="433" t="str">
        <f>'Serviços eventuais'!C66</f>
        <v>GRELHA DE FERRO FUNDIDO SIMPLES COM REQUADRO, 150 X 1000 MM, ASSENTADA COM ARGAMASSA 1 : 3 CIMENTO: AREIA - FORNECIMENTO E INSTALAÇÃO</v>
      </c>
      <c r="C245" s="23" t="str">
        <f>'Serviços eventuais'!D66</f>
        <v>UN</v>
      </c>
      <c r="D245" s="542">
        <f>'Serviços eventuais'!E66</f>
        <v>3</v>
      </c>
      <c r="E245" s="495">
        <f>'Serviços eventuais'!F66</f>
        <v>196.05</v>
      </c>
      <c r="F245" s="495">
        <f>'Serviços eventuais'!G66</f>
        <v>588.15</v>
      </c>
      <c r="G245" s="510"/>
    </row>
    <row r="246" spans="1:7" s="435" customFormat="1" ht="15.75" customHeight="1">
      <c r="A246" s="494" t="str">
        <f>'Serviços eventuais'!A67</f>
        <v>20.64</v>
      </c>
      <c r="B246" s="433" t="str">
        <f>'Serviços eventuais'!C67</f>
        <v>CALHA EM CHAPA DE AÇO GALVANIZADO NÚMERO 24, DESENVOLVIMENTO DE 100 CM , INCLUSO TRANSPORTE VERTICAL</v>
      </c>
      <c r="C246" s="23" t="str">
        <f>'Serviços eventuais'!D67</f>
        <v>M</v>
      </c>
      <c r="D246" s="542">
        <f>'Serviços eventuais'!E67</f>
        <v>15</v>
      </c>
      <c r="E246" s="495">
        <f>'Serviços eventuais'!F67</f>
        <v>172.23</v>
      </c>
      <c r="F246" s="495">
        <f>'Serviços eventuais'!G67</f>
        <v>2583.4499999999998</v>
      </c>
      <c r="G246" s="510"/>
    </row>
    <row r="247" spans="1:7" s="435" customFormat="1" ht="31.5">
      <c r="A247" s="494" t="str">
        <f>'Serviços eventuais'!A68</f>
        <v>20.65</v>
      </c>
      <c r="B247" s="433" t="str">
        <f>'Serviços eventuais'!C68</f>
        <v>RUFO EM CHAPA DE AÇO GALVANIZADO NÚMERO 24, CORTE DE 25 CM, INCLUSO TRANSPORTE VERTICAL</v>
      </c>
      <c r="C247" s="23" t="str">
        <f>'Serviços eventuais'!D68</f>
        <v>M</v>
      </c>
      <c r="D247" s="542">
        <f>'Serviços eventuais'!E68</f>
        <v>15</v>
      </c>
      <c r="E247" s="495">
        <f>'Serviços eventuais'!F68</f>
        <v>53.64</v>
      </c>
      <c r="F247" s="495">
        <f>'Serviços eventuais'!G68</f>
        <v>804.6</v>
      </c>
      <c r="G247" s="510"/>
    </row>
    <row r="248" spans="1:7" s="435" customFormat="1" ht="31.5">
      <c r="A248" s="494" t="str">
        <f>'Serviços eventuais'!A69</f>
        <v>20.66</v>
      </c>
      <c r="B248" s="433" t="str">
        <f>'Serviços eventuais'!C69</f>
        <v xml:space="preserve">TUBO, PVC, SOLDÁVEL, DN 25MM, INSTALADO EM RAMAL OU SUB-RAMAL DE ÁGUA - FORNECIMENTO E INSTALAÇÃO. </v>
      </c>
      <c r="C248" s="23" t="str">
        <f>'Serviços eventuais'!D69</f>
        <v>M</v>
      </c>
      <c r="D248" s="542">
        <f>'Serviços eventuais'!E69</f>
        <v>5</v>
      </c>
      <c r="E248" s="495">
        <f>'Serviços eventuais'!F69</f>
        <v>27.1</v>
      </c>
      <c r="F248" s="495">
        <f>'Serviços eventuais'!G69</f>
        <v>135.5</v>
      </c>
      <c r="G248" s="510"/>
    </row>
    <row r="249" spans="1:7" s="435" customFormat="1" ht="31.5">
      <c r="A249" s="494" t="str">
        <f>'Serviços eventuais'!A70</f>
        <v>20.67</v>
      </c>
      <c r="B249" s="433" t="str">
        <f>'Serviços eventuais'!C70</f>
        <v xml:space="preserve">TUBO, PVC, SOLDÁVEL, DN 32MM, INSTALADO EM RAMAL OU SUB-RAMAL DE ÁGUA - FORNECIMENTO E INSTALAÇÃO. </v>
      </c>
      <c r="C249" s="23" t="str">
        <f>'Serviços eventuais'!D70</f>
        <v>M</v>
      </c>
      <c r="D249" s="542">
        <f>'Serviços eventuais'!E70</f>
        <v>5</v>
      </c>
      <c r="E249" s="495">
        <f>'Serviços eventuais'!F70</f>
        <v>37.06</v>
      </c>
      <c r="F249" s="495">
        <f>'Serviços eventuais'!G70</f>
        <v>185.3</v>
      </c>
      <c r="G249" s="510"/>
    </row>
    <row r="250" spans="1:7" s="435" customFormat="1" ht="31.5">
      <c r="A250" s="494" t="str">
        <f>'Serviços eventuais'!A71</f>
        <v>20.68</v>
      </c>
      <c r="B250" s="433" t="str">
        <f>'Serviços eventuais'!C71</f>
        <v xml:space="preserve">TUBO PVC, SÉRIE R, ÁGUA PLUVIAL, DN 100 MM, FORNECIDO E INSTALADO EM RAMAL DE ENCAMINHAMENTO. </v>
      </c>
      <c r="C250" s="23" t="str">
        <f>'Serviços eventuais'!D71</f>
        <v>M</v>
      </c>
      <c r="D250" s="542">
        <f>'Serviços eventuais'!E71</f>
        <v>5</v>
      </c>
      <c r="E250" s="495">
        <f>'Serviços eventuais'!F71</f>
        <v>55.8</v>
      </c>
      <c r="F250" s="495">
        <f>'Serviços eventuais'!G71</f>
        <v>279</v>
      </c>
      <c r="G250" s="510"/>
    </row>
    <row r="251" spans="1:7" s="435" customFormat="1" ht="31.5">
      <c r="A251" s="494" t="str">
        <f>'Serviços eventuais'!A72</f>
        <v>20.69</v>
      </c>
      <c r="B251" s="433" t="str">
        <f>'Serviços eventuais'!C72</f>
        <v>TUBO PVC, SERIE NORMAL, ESGOTO PREDIAL, DN 100 MM, FORNECIDO E INSTALADO EM RAMAL DE DESCARGA OU RAMAL DE ESGOTO SANITÁRIO.</v>
      </c>
      <c r="C251" s="23" t="str">
        <f>'Serviços eventuais'!D72</f>
        <v>M</v>
      </c>
      <c r="D251" s="542">
        <f>'Serviços eventuais'!E72</f>
        <v>5</v>
      </c>
      <c r="E251" s="495">
        <f>'Serviços eventuais'!F72</f>
        <v>43.33</v>
      </c>
      <c r="F251" s="495">
        <f>'Serviços eventuais'!G72</f>
        <v>216.65</v>
      </c>
      <c r="G251" s="510"/>
    </row>
    <row r="252" spans="1:7" s="435" customFormat="1" ht="31.5">
      <c r="A252" s="494" t="str">
        <f>'Serviços eventuais'!A73</f>
        <v>20.70</v>
      </c>
      <c r="B252" s="433" t="str">
        <f>'Serviços eventuais'!C73</f>
        <v>ELETRODUTO RÍGIDO ROSCÁVEL, PVC, DN 25 MM (3/4"), PARA CIRCUITOS TERMINAIS, INSTALADO EM PAREDE - FORNECIMENTO E INSTALAÇÃO.</v>
      </c>
      <c r="C252" s="23" t="str">
        <f>'Serviços eventuais'!D73</f>
        <v>M</v>
      </c>
      <c r="D252" s="542">
        <f>'Serviços eventuais'!E73</f>
        <v>10</v>
      </c>
      <c r="E252" s="495">
        <f>'Serviços eventuais'!F73</f>
        <v>16.84</v>
      </c>
      <c r="F252" s="495">
        <f>'Serviços eventuais'!G73</f>
        <v>168.4</v>
      </c>
      <c r="G252" s="510"/>
    </row>
    <row r="253" spans="1:7" s="435" customFormat="1" ht="31.5">
      <c r="A253" s="494" t="str">
        <f>'Serviços eventuais'!A74</f>
        <v>20.71</v>
      </c>
      <c r="B253" s="433" t="str">
        <f>'Serviços eventuais'!C74</f>
        <v>LUVA PARA ELETRODUTO, PVC, ROSCÁVEL, DN 25 MM (3/4"), PARA CIRCUITOS TERMINAIS, INSTALADA EM FORRO - FORNECIMENTO E INSTALAÇÃO</v>
      </c>
      <c r="C253" s="23" t="str">
        <f>'Serviços eventuais'!D74</f>
        <v>UN</v>
      </c>
      <c r="D253" s="542">
        <f>'Serviços eventuais'!E74</f>
        <v>5</v>
      </c>
      <c r="E253" s="495">
        <f>'Serviços eventuais'!F74</f>
        <v>9.7200000000000006</v>
      </c>
      <c r="F253" s="495">
        <f>'Serviços eventuais'!G74</f>
        <v>48.6</v>
      </c>
      <c r="G253" s="510"/>
    </row>
    <row r="254" spans="1:7" s="435" customFormat="1" ht="31.5">
      <c r="A254" s="494" t="str">
        <f>'Serviços eventuais'!A75</f>
        <v>20.72</v>
      </c>
      <c r="B254" s="433" t="str">
        <f>'Serviços eventuais'!C75</f>
        <v>CURVA 90 GRAUS PARA ELETRODUTO, PVC, ROSCÁVEL, DN 25 MM (3/4"), PARA CIRCUITOS TERMINAIS, INSTALADA EM FORRO - FORNECIMENTO E INSTALAÇÃO</v>
      </c>
      <c r="C254" s="23" t="str">
        <f>'Serviços eventuais'!D75</f>
        <v>UN</v>
      </c>
      <c r="D254" s="542">
        <f>'Serviços eventuais'!E75</f>
        <v>5</v>
      </c>
      <c r="E254" s="495">
        <f>'Serviços eventuais'!F75</f>
        <v>15.88</v>
      </c>
      <c r="F254" s="495">
        <f>'Serviços eventuais'!G75</f>
        <v>79.400000000000006</v>
      </c>
      <c r="G254" s="510"/>
    </row>
    <row r="255" spans="1:7" s="435" customFormat="1" ht="31.5">
      <c r="A255" s="494" t="str">
        <f>'Serviços eventuais'!A76</f>
        <v>20.73</v>
      </c>
      <c r="B255" s="433" t="str">
        <f>'Serviços eventuais'!C76</f>
        <v>CABO DE COBRE FLEXÍVEL ISOLADO, 2,5 MM², ANTI-CHAMA 450/750 V, PARA CIRCUITOS TERMINAIS - FORNECIMENTO E INSTALAÇÃO</v>
      </c>
      <c r="C255" s="23" t="str">
        <f>'Serviços eventuais'!D76</f>
        <v>M</v>
      </c>
      <c r="D255" s="542">
        <f>'Serviços eventuais'!E76</f>
        <v>150</v>
      </c>
      <c r="E255" s="495">
        <f>'Serviços eventuais'!F76</f>
        <v>5.2</v>
      </c>
      <c r="F255" s="495">
        <f>'Serviços eventuais'!G76</f>
        <v>780</v>
      </c>
      <c r="G255" s="510"/>
    </row>
    <row r="256" spans="1:7" s="435" customFormat="1" ht="31.5">
      <c r="A256" s="494" t="str">
        <f>'Serviços eventuais'!A77</f>
        <v>20.74</v>
      </c>
      <c r="B256" s="433" t="str">
        <f>'Serviços eventuais'!C77</f>
        <v>CABO DE COBRE FLEXÍVEL ISOLADO, 4 MM², ANTI-CHAMA 450/750 V, PARA CIRCUITOS TERMINAIS - FORNECIMENTO E INSTALAÇÃO</v>
      </c>
      <c r="C256" s="23" t="str">
        <f>'Serviços eventuais'!D77</f>
        <v>M</v>
      </c>
      <c r="D256" s="542">
        <f>'Serviços eventuais'!E77</f>
        <v>100</v>
      </c>
      <c r="E256" s="495">
        <f>'Serviços eventuais'!F77</f>
        <v>8.07</v>
      </c>
      <c r="F256" s="495">
        <f>'Serviços eventuais'!G77</f>
        <v>807</v>
      </c>
      <c r="G256" s="510"/>
    </row>
    <row r="257" spans="1:7" s="435" customFormat="1" ht="31.5">
      <c r="A257" s="494" t="str">
        <f>'Serviços eventuais'!A78</f>
        <v>20.75</v>
      </c>
      <c r="B257" s="433" t="str">
        <f>'Serviços eventuais'!C78</f>
        <v>CABO DE COBRE FLEXÍVEL ISOLADO, 6 MM², ANTI-CHAMA 450/750 V, PARA CIRCUITOS TERMINAIS - FORNECIMENTO E INSTALAÇÃO</v>
      </c>
      <c r="C257" s="23" t="str">
        <f>'Serviços eventuais'!D78</f>
        <v>M</v>
      </c>
      <c r="D257" s="542">
        <f>'Serviços eventuais'!E78</f>
        <v>50</v>
      </c>
      <c r="E257" s="495">
        <f>'Serviços eventuais'!F78</f>
        <v>11.28</v>
      </c>
      <c r="F257" s="495">
        <f>'Serviços eventuais'!G78</f>
        <v>564</v>
      </c>
      <c r="G257" s="510"/>
    </row>
    <row r="258" spans="1:7" s="435" customFormat="1" ht="31.5">
      <c r="A258" s="494" t="str">
        <f>'Serviços eventuais'!A79</f>
        <v>20.76</v>
      </c>
      <c r="B258" s="433" t="str">
        <f>'Serviços eventuais'!C79</f>
        <v>CONDULETE DE ALUMÍNIO, TIPO LR, PARA ELETRODUTO DE AÇO GALVANIZADO DN 20 MM (3/4''), APARENTE - FORNECIMENTO E INSTALAÇÃO</v>
      </c>
      <c r="C258" s="23" t="str">
        <f>'Serviços eventuais'!D79</f>
        <v>UN</v>
      </c>
      <c r="D258" s="542">
        <f>'Serviços eventuais'!E79</f>
        <v>10</v>
      </c>
      <c r="E258" s="495">
        <f>'Serviços eventuais'!F79</f>
        <v>30.17</v>
      </c>
      <c r="F258" s="495">
        <f>'Serviços eventuais'!G79</f>
        <v>301.7</v>
      </c>
      <c r="G258" s="510"/>
    </row>
    <row r="259" spans="1:7" s="435" customFormat="1" ht="31.5">
      <c r="A259" s="494" t="str">
        <f>'Serviços eventuais'!A80</f>
        <v>20.77</v>
      </c>
      <c r="B259" s="433" t="str">
        <f>'Serviços eventuais'!C80</f>
        <v>CONDULETE DE ALUMÍNIO, TIPO C, PARA ELETRODUTO DE AÇO GALVANIZADO DN 20 MM (3/4''), APARENTE - FORNECIMENTO E INSTALAÇÃO</v>
      </c>
      <c r="C259" s="23" t="str">
        <f>'Serviços eventuais'!D80</f>
        <v>UN</v>
      </c>
      <c r="D259" s="542">
        <f>'Serviços eventuais'!E80</f>
        <v>10</v>
      </c>
      <c r="E259" s="495">
        <f>'Serviços eventuais'!F80</f>
        <v>28.84</v>
      </c>
      <c r="F259" s="495">
        <f>'Serviços eventuais'!G80</f>
        <v>288.39999999999998</v>
      </c>
      <c r="G259" s="510"/>
    </row>
    <row r="260" spans="1:7" s="435" customFormat="1" ht="31.5">
      <c r="A260" s="494" t="str">
        <f>'Serviços eventuais'!A81</f>
        <v>20.78</v>
      </c>
      <c r="B260" s="433" t="str">
        <f>'Serviços eventuais'!C81</f>
        <v>CONDULETE DE ALUMÍNIO, TIPO T, PARA ELETRODUTO DE AÇO GALVANIZADO DN 20 MM (3/4''), APARENTE - FORNECIMENTO E INSTALAÇÃO.</v>
      </c>
      <c r="C260" s="23" t="str">
        <f>'Serviços eventuais'!D81</f>
        <v>UN</v>
      </c>
      <c r="D260" s="542">
        <f>'Serviços eventuais'!E81</f>
        <v>10</v>
      </c>
      <c r="E260" s="495">
        <f>'Serviços eventuais'!F81</f>
        <v>35.17</v>
      </c>
      <c r="F260" s="495">
        <f>'Serviços eventuais'!G81</f>
        <v>351.7</v>
      </c>
      <c r="G260" s="510"/>
    </row>
    <row r="261" spans="1:7" s="435" customFormat="1" ht="31.5">
      <c r="A261" s="494" t="str">
        <f>'Serviços eventuais'!A82</f>
        <v>20.79</v>
      </c>
      <c r="B261" s="433" t="str">
        <f>'Serviços eventuais'!C82</f>
        <v>CONDULETE DE PVC, TIPO LL/LR, PARA ELETRODUTO DE PVC SOLDÁVEL DN 25 MM (3/4''), APARENTE - FORNECIMENTO E INSTALAÇÃO</v>
      </c>
      <c r="C261" s="23" t="str">
        <f>'Serviços eventuais'!D82</f>
        <v>UN</v>
      </c>
      <c r="D261" s="542">
        <f>'Serviços eventuais'!E82</f>
        <v>10</v>
      </c>
      <c r="E261" s="495">
        <f>'Serviços eventuais'!F82</f>
        <v>29.06</v>
      </c>
      <c r="F261" s="495">
        <f>'Serviços eventuais'!G82</f>
        <v>290.60000000000002</v>
      </c>
      <c r="G261" s="510"/>
    </row>
    <row r="262" spans="1:7" s="435" customFormat="1" ht="31.5">
      <c r="A262" s="494" t="str">
        <f>'Serviços eventuais'!A83</f>
        <v>20.80</v>
      </c>
      <c r="B262" s="433" t="str">
        <f>'Serviços eventuais'!C83</f>
        <v>ELETROCALHA LISA OU PERFURADA EM AÇO GALVANIZADO, LARGURA  100MM E ALTURA 50MM, INCLUSIVE EMENDA E FIXAÇÃO - FORNECIMENTO E INSTALAÇÃO</v>
      </c>
      <c r="C262" s="23" t="str">
        <f>'Serviços eventuais'!D83</f>
        <v>M</v>
      </c>
      <c r="D262" s="542">
        <f>'Serviços eventuais'!E83</f>
        <v>5</v>
      </c>
      <c r="E262" s="495">
        <f>'Serviços eventuais'!F83</f>
        <v>150.20164399999999</v>
      </c>
      <c r="F262" s="495">
        <f>'Serviços eventuais'!G83</f>
        <v>751.01</v>
      </c>
      <c r="G262" s="510"/>
    </row>
    <row r="263" spans="1:7" s="435" customFormat="1">
      <c r="A263" s="494" t="str">
        <f>'Serviços eventuais'!A84</f>
        <v>20.81</v>
      </c>
      <c r="B263" s="433" t="str">
        <f>'Serviços eventuais'!C84</f>
        <v>Limpeza de placas de sistema fotovoltaico</v>
      </c>
      <c r="C263" s="23" t="str">
        <f>'Serviços eventuais'!D84</f>
        <v>M2</v>
      </c>
      <c r="D263" s="542">
        <f>'Serviços eventuais'!E84</f>
        <v>500</v>
      </c>
      <c r="E263" s="495">
        <f>'Serviços eventuais'!F84</f>
        <v>6.2955599999999992</v>
      </c>
      <c r="F263" s="495">
        <f>'Serviços eventuais'!G84</f>
        <v>3147.78</v>
      </c>
      <c r="G263" s="510"/>
    </row>
    <row r="264" spans="1:7" s="435" customFormat="1" ht="47.25">
      <c r="A264" s="494" t="str">
        <f>'Serviços eventuais'!A85</f>
        <v>20.82</v>
      </c>
      <c r="B264" s="433" t="str">
        <f>'Serviços eventuais'!C85</f>
        <v>TUBO DE AÇO GALVANIZADO COM COSTURA, CLASSE MÉDIA, DN 32 (1 1/4"), CONEXÃO ROSQUEADA, INSTALADO EM REDE DE ALIMENTAÇÃO PARA HIDRANTE - FORNECIMENTO E INSTALAÇÃO.</v>
      </c>
      <c r="C264" s="23" t="str">
        <f>'Serviços eventuais'!D85</f>
        <v>M</v>
      </c>
      <c r="D264" s="542">
        <f>'Serviços eventuais'!E85</f>
        <v>5</v>
      </c>
      <c r="E264" s="495">
        <f>'Serviços eventuais'!F85</f>
        <v>55.73</v>
      </c>
      <c r="F264" s="495">
        <f>'Serviços eventuais'!G85</f>
        <v>278.64999999999998</v>
      </c>
      <c r="G264" s="510"/>
    </row>
    <row r="265" spans="1:7" s="435" customFormat="1" ht="47.25">
      <c r="A265" s="494" t="str">
        <f>'Serviços eventuais'!A86</f>
        <v>20.83</v>
      </c>
      <c r="B265" s="433" t="str">
        <f>'Serviços eventuais'!C86</f>
        <v>TUBO DE AÇO GALVANIZADO COM COSTURA, CLASSE MÉDIA, DN 40 (1 1/2"), CONEXÃO ROSQUEADA, INSTALADO EM REDE DE ALIMENTAÇÃO PARA HIDRANTE - FORNECIMENTO E INSTALAÇÃO.</v>
      </c>
      <c r="C265" s="23" t="str">
        <f>'Serviços eventuais'!D86</f>
        <v>M</v>
      </c>
      <c r="D265" s="542">
        <f>'Serviços eventuais'!E86</f>
        <v>4</v>
      </c>
      <c r="E265" s="495">
        <f>'Serviços eventuais'!F86</f>
        <v>64.28</v>
      </c>
      <c r="F265" s="495">
        <f>'Serviços eventuais'!G86</f>
        <v>257.12</v>
      </c>
      <c r="G265" s="510"/>
    </row>
    <row r="266" spans="1:7" s="435" customFormat="1" ht="47.25">
      <c r="A266" s="494" t="str">
        <f>'Serviços eventuais'!A87</f>
        <v>20.84</v>
      </c>
      <c r="B266" s="433" t="str">
        <f>'Serviços eventuais'!C87</f>
        <v>TUBO DE AÇO GALVANIZADO COM COSTURA, CLASSE MÉDIA, CONEXÃO ROSQUEADA, DN 32 (1 1/4"), INSTALADO EM REDE DE ALIMENTAÇÃO PARA SPRINKLER - FORNECIMENTO E INSTALAÇÃO. AF_12/2015</v>
      </c>
      <c r="C266" s="23" t="str">
        <f>'Serviços eventuais'!D87</f>
        <v>M</v>
      </c>
      <c r="D266" s="542">
        <f>'Serviços eventuais'!E87</f>
        <v>4</v>
      </c>
      <c r="E266" s="495">
        <f>'Serviços eventuais'!F87</f>
        <v>61.01</v>
      </c>
      <c r="F266" s="495">
        <f>'Serviços eventuais'!G87</f>
        <v>244.04</v>
      </c>
      <c r="G266" s="510"/>
    </row>
    <row r="267" spans="1:7" s="435" customFormat="1" ht="31.5">
      <c r="A267" s="494" t="str">
        <f>'Serviços eventuais'!A88</f>
        <v>20.85</v>
      </c>
      <c r="B267" s="433" t="str">
        <f>'Serviços eventuais'!C88</f>
        <v xml:space="preserve">EXTINTOR DE INCÊNDIO PORTÁTIL COM CARGA DE CO2 DE 6 KG, CLASSE BC - FORNECIMENTO E INSTALAÇÃO. </v>
      </c>
      <c r="C267" s="23" t="str">
        <f>'Serviços eventuais'!D88</f>
        <v>UN</v>
      </c>
      <c r="D267" s="542">
        <f>'Serviços eventuais'!E88</f>
        <v>1</v>
      </c>
      <c r="E267" s="495">
        <f>'Serviços eventuais'!F88</f>
        <v>693.67</v>
      </c>
      <c r="F267" s="495">
        <f>'Serviços eventuais'!G88</f>
        <v>693.67</v>
      </c>
      <c r="G267" s="510"/>
    </row>
    <row r="268" spans="1:7" s="435" customFormat="1" ht="31.5">
      <c r="A268" s="494" t="str">
        <f>'Serviços eventuais'!A89</f>
        <v>20.86</v>
      </c>
      <c r="B268" s="433" t="str">
        <f>'Serviços eventuais'!C89</f>
        <v xml:space="preserve">EXTINTOR DE INCÊNDIO PORTÁTIL COM CARGA DE PQS DE 6 KG, CLASSE BC - FORNECIMENTO E INSTALAÇÃO. </v>
      </c>
      <c r="C268" s="23" t="str">
        <f>'Serviços eventuais'!D89</f>
        <v>UN</v>
      </c>
      <c r="D268" s="542">
        <f>'Serviços eventuais'!E89</f>
        <v>1</v>
      </c>
      <c r="E268" s="495">
        <f>'Serviços eventuais'!F89</f>
        <v>248.67</v>
      </c>
      <c r="F268" s="495">
        <f>'Serviços eventuais'!G89</f>
        <v>248.67</v>
      </c>
      <c r="G268" s="510"/>
    </row>
    <row r="269" spans="1:7" s="435" customFormat="1">
      <c r="A269" s="494" t="str">
        <f>'Serviços eventuais'!A90</f>
        <v>20.87</v>
      </c>
      <c r="B269" s="433" t="str">
        <f>'Serviços eventuais'!C90</f>
        <v>Manutenção nível 1 e 2 para Extintor de incêndio com carga de PQS – 4kg - BC, com recarga</v>
      </c>
      <c r="C269" s="23" t="str">
        <f>'Serviços eventuais'!D90</f>
        <v>UNID</v>
      </c>
      <c r="D269" s="542">
        <f>'Serviços eventuais'!E90</f>
        <v>40</v>
      </c>
      <c r="E269" s="495">
        <f>'Serviços eventuais'!F90</f>
        <v>16.88</v>
      </c>
      <c r="F269" s="495">
        <f>'Serviços eventuais'!G90</f>
        <v>675.2</v>
      </c>
      <c r="G269" s="510"/>
    </row>
    <row r="270" spans="1:7" s="435" customFormat="1">
      <c r="A270" s="494" t="str">
        <f>'Serviços eventuais'!A91</f>
        <v>20.88</v>
      </c>
      <c r="B270" s="433" t="str">
        <f>'Serviços eventuais'!C91</f>
        <v>Manutenção nível 1 e 2 para Extintor de incêndio com carga de PQS – 6kg - ABC, com recarga</v>
      </c>
      <c r="C270" s="23" t="str">
        <f>'Serviços eventuais'!D91</f>
        <v>UNID</v>
      </c>
      <c r="D270" s="542">
        <f>'Serviços eventuais'!E91</f>
        <v>68</v>
      </c>
      <c r="E270" s="495">
        <f>'Serviços eventuais'!F91</f>
        <v>23.63</v>
      </c>
      <c r="F270" s="495">
        <f>'Serviços eventuais'!G91</f>
        <v>1606.84</v>
      </c>
      <c r="G270" s="510"/>
    </row>
    <row r="271" spans="1:7" s="435" customFormat="1">
      <c r="A271" s="494" t="str">
        <f>'Serviços eventuais'!A92</f>
        <v>20.89</v>
      </c>
      <c r="B271" s="433" t="str">
        <f>'Serviços eventuais'!C92</f>
        <v>Manutenção nível 1 e 2 para Extintor de incêndio com carga de PQS – 4kg – ABC</v>
      </c>
      <c r="C271" s="23" t="str">
        <f>'Serviços eventuais'!D92</f>
        <v>UNID</v>
      </c>
      <c r="D271" s="542">
        <f>'Serviços eventuais'!E92</f>
        <v>1</v>
      </c>
      <c r="E271" s="495">
        <f>'Serviços eventuais'!F92</f>
        <v>23.63</v>
      </c>
      <c r="F271" s="495">
        <f>'Serviços eventuais'!G92</f>
        <v>23.63</v>
      </c>
      <c r="G271" s="510"/>
    </row>
    <row r="272" spans="1:7" s="435" customFormat="1">
      <c r="A272" s="494" t="str">
        <f>'Serviços eventuais'!A93</f>
        <v>20.90</v>
      </c>
      <c r="B272" s="433" t="str">
        <f>'Serviços eventuais'!C93</f>
        <v>Manutenção nível 1 e 2 para Extintor de incêndio com carga de Água pressurizada – 10 litros, com recarga</v>
      </c>
      <c r="C272" s="23" t="str">
        <f>'Serviços eventuais'!D93</f>
        <v>UNID</v>
      </c>
      <c r="D272" s="542">
        <f>'Serviços eventuais'!E93</f>
        <v>9</v>
      </c>
      <c r="E272" s="495">
        <f>'Serviços eventuais'!F93</f>
        <v>15.35</v>
      </c>
      <c r="F272" s="495">
        <f>'Serviços eventuais'!G93</f>
        <v>138.15</v>
      </c>
      <c r="G272" s="510"/>
    </row>
    <row r="273" spans="1:7" s="435" customFormat="1">
      <c r="A273" s="494" t="str">
        <f>'Serviços eventuais'!A94</f>
        <v>20.91</v>
      </c>
      <c r="B273" s="433" t="str">
        <f>'Serviços eventuais'!C94</f>
        <v>Manutenção nível 1 e 2 Extintor de incêndio com carga de CO2 – 6kg, com recarga</v>
      </c>
      <c r="C273" s="23" t="str">
        <f>'Serviços eventuais'!D94</f>
        <v>UNID</v>
      </c>
      <c r="D273" s="542">
        <f>'Serviços eventuais'!E94</f>
        <v>10</v>
      </c>
      <c r="E273" s="495">
        <f>'Serviços eventuais'!F94</f>
        <v>65.03</v>
      </c>
      <c r="F273" s="495">
        <f>'Serviços eventuais'!G94</f>
        <v>650.29999999999995</v>
      </c>
      <c r="G273" s="510"/>
    </row>
    <row r="274" spans="1:7" s="435" customFormat="1">
      <c r="A274" s="494" t="str">
        <f>'Serviços eventuais'!A95</f>
        <v>20.92</v>
      </c>
      <c r="B274" s="433" t="str">
        <f>'Serviços eventuais'!C95</f>
        <v>Manutenção nível 3 -Teste hidrostático para Extintor de incêndio com carga de PQS – 4kg - BC</v>
      </c>
      <c r="C274" s="23" t="str">
        <f>'Serviços eventuais'!D95</f>
        <v>UNID</v>
      </c>
      <c r="D274" s="542">
        <f>'Serviços eventuais'!E95</f>
        <v>40</v>
      </c>
      <c r="E274" s="495">
        <f>'Serviços eventuais'!F95</f>
        <v>17.88</v>
      </c>
      <c r="F274" s="495">
        <f>'Serviços eventuais'!G95</f>
        <v>715.2</v>
      </c>
      <c r="G274" s="510"/>
    </row>
    <row r="275" spans="1:7" s="435" customFormat="1">
      <c r="A275" s="494" t="str">
        <f>'Serviços eventuais'!A96</f>
        <v>20.93</v>
      </c>
      <c r="B275" s="433" t="str">
        <f>'Serviços eventuais'!C96</f>
        <v>Manutenção nível 3 - Teste hidrostático para Extintor de incêndio com carga de PQS – 6kg - ABC</v>
      </c>
      <c r="C275" s="23" t="str">
        <f>'Serviços eventuais'!D96</f>
        <v>UNID</v>
      </c>
      <c r="D275" s="542">
        <f>'Serviços eventuais'!E96</f>
        <v>68</v>
      </c>
      <c r="E275" s="495">
        <f>'Serviços eventuais'!F96</f>
        <v>20.13</v>
      </c>
      <c r="F275" s="495">
        <f>'Serviços eventuais'!G96</f>
        <v>1368.84</v>
      </c>
      <c r="G275" s="510"/>
    </row>
    <row r="276" spans="1:7" s="435" customFormat="1">
      <c r="A276" s="494" t="str">
        <f>'Serviços eventuais'!A97</f>
        <v>20.94</v>
      </c>
      <c r="B276" s="433" t="str">
        <f>'Serviços eventuais'!C97</f>
        <v>Manutenção nível 3 - Teste hidrostático para Extintor de incêndio com carga de PQS – 4kg – ABC</v>
      </c>
      <c r="C276" s="23" t="str">
        <f>'Serviços eventuais'!D97</f>
        <v>UNID</v>
      </c>
      <c r="D276" s="542">
        <f>'Serviços eventuais'!E97</f>
        <v>1</v>
      </c>
      <c r="E276" s="495">
        <f>'Serviços eventuais'!F97</f>
        <v>20.13</v>
      </c>
      <c r="F276" s="495">
        <f>'Serviços eventuais'!G97</f>
        <v>20.13</v>
      </c>
      <c r="G276" s="510"/>
    </row>
    <row r="277" spans="1:7" s="435" customFormat="1">
      <c r="A277" s="494" t="str">
        <f>'Serviços eventuais'!A98</f>
        <v>20.95</v>
      </c>
      <c r="B277" s="433" t="str">
        <f>'Serviços eventuais'!C98</f>
        <v>Manutenção nível 3 - Teste hidrostático para Extintor de incêndio com carga de Água pressurizada – 10 litros</v>
      </c>
      <c r="C277" s="23" t="str">
        <f>'Serviços eventuais'!D98</f>
        <v>UNID</v>
      </c>
      <c r="D277" s="542">
        <f>'Serviços eventuais'!E98</f>
        <v>9</v>
      </c>
      <c r="E277" s="495">
        <f>'Serviços eventuais'!F98</f>
        <v>15.5</v>
      </c>
      <c r="F277" s="495">
        <f>'Serviços eventuais'!G98</f>
        <v>139.5</v>
      </c>
      <c r="G277" s="510"/>
    </row>
    <row r="278" spans="1:7" s="435" customFormat="1">
      <c r="A278" s="494" t="str">
        <f>'Serviços eventuais'!A99</f>
        <v>20.96</v>
      </c>
      <c r="B278" s="433" t="str">
        <f>'Serviços eventuais'!C99</f>
        <v>Manutenção nível 3 - Teste hidrostático Extintor de incêndio com carga de CO2 – 6kg</v>
      </c>
      <c r="C278" s="23" t="str">
        <f>'Serviços eventuais'!D99</f>
        <v>UNID</v>
      </c>
      <c r="D278" s="542">
        <f>'Serviços eventuais'!E99</f>
        <v>10</v>
      </c>
      <c r="E278" s="495">
        <f>'Serviços eventuais'!F99</f>
        <v>51.25</v>
      </c>
      <c r="F278" s="495">
        <f>'Serviços eventuais'!G99</f>
        <v>512.5</v>
      </c>
      <c r="G278" s="510"/>
    </row>
    <row r="279" spans="1:7" s="435" customFormat="1">
      <c r="A279" s="494" t="str">
        <f>'Serviços eventuais'!A100</f>
        <v>20.97</v>
      </c>
      <c r="B279" s="433" t="str">
        <f>'Serviços eventuais'!C100</f>
        <v>Teste hidrostático de mangueira de incêndio com emissão de relatório</v>
      </c>
      <c r="C279" s="23" t="str">
        <f>'Serviços eventuais'!D100</f>
        <v>UNID</v>
      </c>
      <c r="D279" s="542">
        <f>'Serviços eventuais'!E100</f>
        <v>145</v>
      </c>
      <c r="E279" s="495">
        <f>'Serviços eventuais'!F100</f>
        <v>10.45</v>
      </c>
      <c r="F279" s="495">
        <f>'Serviços eventuais'!G100</f>
        <v>1515.25</v>
      </c>
      <c r="G279" s="510"/>
    </row>
    <row r="280" spans="1:7" s="435" customFormat="1" ht="31.5">
      <c r="A280" s="494" t="str">
        <f>'Serviços eventuais'!A101</f>
        <v>20.98</v>
      </c>
      <c r="B280" s="433" t="str">
        <f>'Serviços eventuais'!C101</f>
        <v>EXECUÇÃO DE PASSEIO (CALÇADA) OU PISO DE CONCRETO COM CONCRETO MOLDADO IN LOCO, USINADO, ACABAMENTO CONVENCIONAL, NÃO ARMADO. AF_08/2022</v>
      </c>
      <c r="C280" s="23" t="str">
        <f>'Serviços eventuais'!D101</f>
        <v>M3</v>
      </c>
      <c r="D280" s="542">
        <f>'Serviços eventuais'!E101</f>
        <v>5</v>
      </c>
      <c r="E280" s="495">
        <f>'Serviços eventuais'!F101</f>
        <v>779.07</v>
      </c>
      <c r="F280" s="495">
        <f>'Serviços eventuais'!G101</f>
        <v>3895.35</v>
      </c>
      <c r="G280" s="510"/>
    </row>
    <row r="281" spans="1:7" s="435" customFormat="1" ht="31.5">
      <c r="A281" s="494" t="str">
        <f>'Serviços eventuais'!A102</f>
        <v>20.99</v>
      </c>
      <c r="B281" s="433" t="str">
        <f>'Serviços eventuais'!C102</f>
        <v>LASTRO DE CONCRETO MAGRO, APLICADO EM PISOS, LAJES SOBRE SOLO OU RADIER, ESPESSURA DE 5CM</v>
      </c>
      <c r="C281" s="23" t="str">
        <f>'Serviços eventuais'!D102</f>
        <v>M2</v>
      </c>
      <c r="D281" s="542">
        <f>'Serviços eventuais'!E102</f>
        <v>50</v>
      </c>
      <c r="E281" s="495">
        <f>'Serviços eventuais'!F102</f>
        <v>46.65</v>
      </c>
      <c r="F281" s="495">
        <f>'Serviços eventuais'!G102</f>
        <v>2332.5</v>
      </c>
      <c r="G281" s="510"/>
    </row>
    <row r="282" spans="1:7" s="435" customFormat="1" ht="31.5">
      <c r="A282" s="494" t="str">
        <f>'Serviços eventuais'!A103</f>
        <v>20.100</v>
      </c>
      <c r="B282" s="433" t="str">
        <f>'Serviços eventuais'!C103</f>
        <v>LASTRO COM MATERIAL GRANULAR (PEDRA BRITADA N.2), APLICADO EM PISOS OU LAJES SOBRE SOLO, ESPESSURA DE *10 CM*</v>
      </c>
      <c r="C282" s="23" t="str">
        <f>'Serviços eventuais'!D103</f>
        <v>M3</v>
      </c>
      <c r="D282" s="542">
        <f>'Serviços eventuais'!E103</f>
        <v>20</v>
      </c>
      <c r="E282" s="495">
        <f>'Serviços eventuais'!F103</f>
        <v>290.31</v>
      </c>
      <c r="F282" s="495">
        <f>'Serviços eventuais'!G103</f>
        <v>5806.2</v>
      </c>
      <c r="G282" s="510"/>
    </row>
    <row r="283" spans="1:7" s="435" customFormat="1">
      <c r="A283" s="494" t="str">
        <f>'Serviços eventuais'!A104</f>
        <v>20.101</v>
      </c>
      <c r="B283" s="433" t="str">
        <f>'Serviços eventuais'!C104</f>
        <v>EXECUÇÃO DE PISO INDUSTRIAL DE CONCRETO ARMADO, FCK = 20 MPA, ESPESSURA DE 12CM</v>
      </c>
      <c r="C283" s="23" t="str">
        <f>'Serviços eventuais'!D104</f>
        <v>M2</v>
      </c>
      <c r="D283" s="542">
        <f>'Serviços eventuais'!E104</f>
        <v>50</v>
      </c>
      <c r="E283" s="495">
        <f>'Serviços eventuais'!F104</f>
        <v>124.75</v>
      </c>
      <c r="F283" s="495">
        <f>'Serviços eventuais'!G104</f>
        <v>6237.5</v>
      </c>
      <c r="G283" s="510"/>
    </row>
    <row r="284" spans="1:7" s="435" customFormat="1" ht="31.5">
      <c r="A284" s="494" t="str">
        <f>'Serviços eventuais'!A105</f>
        <v>20.102</v>
      </c>
      <c r="B284" s="433" t="str">
        <f>'Serviços eventuais'!C105</f>
        <v>COMPACTAÇÃO MECÂNICA DE SOLO PARA EXECUÇÃO DE RADIER, PISO DE CONCRETO OU LAJE SOBRE SOLO, COM COMPACTADOR DE SOLOS A PERCUSSÃO</v>
      </c>
      <c r="C284" s="23" t="str">
        <f>'Serviços eventuais'!D105</f>
        <v>M2</v>
      </c>
      <c r="D284" s="542">
        <f>'Serviços eventuais'!E105</f>
        <v>50</v>
      </c>
      <c r="E284" s="495">
        <f>'Serviços eventuais'!F105</f>
        <v>3.9</v>
      </c>
      <c r="F284" s="495">
        <f>'Serviços eventuais'!G105</f>
        <v>195</v>
      </c>
      <c r="G284" s="510"/>
    </row>
    <row r="285" spans="1:7" s="435" customFormat="1" ht="31.5">
      <c r="A285" s="494" t="str">
        <f>'Serviços eventuais'!A106</f>
        <v>20.103</v>
      </c>
      <c r="B285" s="433" t="str">
        <f>'Serviços eventuais'!C106</f>
        <v>PISO EM PEDRA PORTUGUESA ASSENTADO SOBRE ARGAMASSA SECA DE CIMENTO E AREIA, REJUNTADO COM CIMENTO</v>
      </c>
      <c r="C285" s="23" t="str">
        <f>'Serviços eventuais'!D106</f>
        <v>M2</v>
      </c>
      <c r="D285" s="542">
        <f>'Serviços eventuais'!E106</f>
        <v>10</v>
      </c>
      <c r="E285" s="495">
        <f>'Serviços eventuais'!F106</f>
        <v>243.68</v>
      </c>
      <c r="F285" s="495">
        <f>'Serviços eventuais'!G106</f>
        <v>2436.8000000000002</v>
      </c>
      <c r="G285" s="510"/>
    </row>
    <row r="286" spans="1:7" s="435" customFormat="1">
      <c r="A286" s="494" t="str">
        <f>'Serviços eventuais'!A107</f>
        <v>20.104</v>
      </c>
      <c r="B286" s="433" t="str">
        <f>'Serviços eventuais'!C107</f>
        <v>LIMPEZA MANUAL DE VEGETAÇÃO EM TERRENO COM ENXADA</v>
      </c>
      <c r="C286" s="23" t="str">
        <f>'Serviços eventuais'!D107</f>
        <v>M2</v>
      </c>
      <c r="D286" s="542">
        <f>'Serviços eventuais'!E107</f>
        <v>2330</v>
      </c>
      <c r="E286" s="495">
        <f>'Serviços eventuais'!F107</f>
        <v>0.54759999999999998</v>
      </c>
      <c r="F286" s="495">
        <f>'Serviços eventuais'!G107</f>
        <v>1275.9100000000001</v>
      </c>
      <c r="G286" s="510"/>
    </row>
    <row r="287" spans="1:7" s="435" customFormat="1">
      <c r="A287" s="494" t="str">
        <f>'Serviços eventuais'!A108</f>
        <v>20.105</v>
      </c>
      <c r="B287" s="433" t="str">
        <f>'Serviços eventuais'!C108</f>
        <v>Locação de caçamba</v>
      </c>
      <c r="C287" s="23" t="str">
        <f>'Serviços eventuais'!D108</f>
        <v>unid</v>
      </c>
      <c r="D287" s="542">
        <f>'Serviços eventuais'!E108</f>
        <v>15</v>
      </c>
      <c r="E287" s="495">
        <f>'Serviços eventuais'!F108</f>
        <v>380.95</v>
      </c>
      <c r="F287" s="495">
        <f>'Serviços eventuais'!G108</f>
        <v>5714.25</v>
      </c>
      <c r="G287" s="510"/>
    </row>
    <row r="288" spans="1:7" s="435" customFormat="1">
      <c r="A288" s="494" t="str">
        <f>'Serviços eventuais'!A109</f>
        <v>20.106</v>
      </c>
      <c r="B288" s="433" t="str">
        <f>'Serviços eventuais'!C109</f>
        <v>Laudo qualidade de água</v>
      </c>
      <c r="C288" s="23" t="str">
        <f>'Serviços eventuais'!D109</f>
        <v>ponto</v>
      </c>
      <c r="D288" s="542">
        <f>'Serviços eventuais'!E109</f>
        <v>20</v>
      </c>
      <c r="E288" s="495">
        <f>'Serviços eventuais'!F109</f>
        <v>290</v>
      </c>
      <c r="F288" s="495">
        <f>'Serviços eventuais'!G109</f>
        <v>5800</v>
      </c>
      <c r="G288" s="510"/>
    </row>
    <row r="289" spans="1:7" s="435" customFormat="1">
      <c r="A289" s="494" t="str">
        <f>'Serviços eventuais'!A110</f>
        <v>20.107</v>
      </c>
      <c r="B289" s="433" t="str">
        <f>'Serviços eventuais'!C110</f>
        <v>MAO DE OBRA - Engenheiro senior com encargos complementares</v>
      </c>
      <c r="C289" s="23" t="str">
        <f>'Serviços eventuais'!D110</f>
        <v>H</v>
      </c>
      <c r="D289" s="542">
        <f>'Serviços eventuais'!E110</f>
        <v>80</v>
      </c>
      <c r="E289" s="495">
        <f>'Serviços eventuais'!F110</f>
        <v>228.81</v>
      </c>
      <c r="F289" s="495">
        <f>'Serviços eventuais'!G110</f>
        <v>18304.8</v>
      </c>
      <c r="G289" s="510"/>
    </row>
    <row r="290" spans="1:7" s="435" customFormat="1">
      <c r="A290" s="494" t="str">
        <f>'Serviços eventuais'!A111</f>
        <v>20.108</v>
      </c>
      <c r="B290" s="433" t="str">
        <f>'Serviços eventuais'!C111</f>
        <v>MAO DE OBRA - Arquiteto senior com encargos complementares</v>
      </c>
      <c r="C290" s="23" t="str">
        <f>'Serviços eventuais'!D111</f>
        <v>H</v>
      </c>
      <c r="D290" s="542">
        <f>'Serviços eventuais'!E111</f>
        <v>150</v>
      </c>
      <c r="E290" s="495">
        <f>'Serviços eventuais'!F111</f>
        <v>151.07</v>
      </c>
      <c r="F290" s="495">
        <f>'Serviços eventuais'!G111</f>
        <v>22660.5</v>
      </c>
      <c r="G290" s="510"/>
    </row>
    <row r="291" spans="1:7" s="435" customFormat="1">
      <c r="A291" s="494" t="str">
        <f>'Serviços eventuais'!A112</f>
        <v>20.109</v>
      </c>
      <c r="B291" s="433" t="str">
        <f>'Serviços eventuais'!C112</f>
        <v>MAO DE OBRA - Técnico eletrotécnico, eletrônico e demais especialidades com encargos complementares</v>
      </c>
      <c r="C291" s="23" t="str">
        <f>'Serviços eventuais'!D112</f>
        <v>H</v>
      </c>
      <c r="D291" s="542">
        <f>'Serviços eventuais'!E112</f>
        <v>100</v>
      </c>
      <c r="E291" s="495">
        <f>'Serviços eventuais'!F112</f>
        <v>40.200000000000003</v>
      </c>
      <c r="F291" s="495">
        <f>'Serviços eventuais'!G112</f>
        <v>4020</v>
      </c>
      <c r="G291" s="510"/>
    </row>
    <row r="292" spans="1:7" s="435" customFormat="1">
      <c r="A292" s="494" t="str">
        <f>'Serviços eventuais'!A113</f>
        <v>20.110</v>
      </c>
      <c r="B292" s="433" t="str">
        <f>'Serviços eventuais'!C113</f>
        <v>MAO DE OBRA -  Encarregado geral com encargos complementares</v>
      </c>
      <c r="C292" s="23" t="str">
        <f>'Serviços eventuais'!D113</f>
        <v>H</v>
      </c>
      <c r="D292" s="542">
        <f>'Serviços eventuais'!E113</f>
        <v>192</v>
      </c>
      <c r="E292" s="495">
        <f>'Serviços eventuais'!F113</f>
        <v>32.08</v>
      </c>
      <c r="F292" s="495">
        <f>'Serviços eventuais'!G113</f>
        <v>6159.36</v>
      </c>
      <c r="G292" s="510"/>
    </row>
    <row r="293" spans="1:7" s="435" customFormat="1" ht="31.5">
      <c r="A293" s="494" t="str">
        <f>'Serviços eventuais'!A114</f>
        <v>20.111</v>
      </c>
      <c r="B293" s="433" t="str">
        <f>'Serviços eventuais'!C114</f>
        <v>MAO DE OBRA - Oficial (Pedreiro, Serralheiro, ladrilheiro, carpinteiro, armador, eletricista, marceneiro, serralheiro, soldador, gesseiro, montador, pintor, impermeabilizador e vidraceiro) com encargos complementares</v>
      </c>
      <c r="C293" s="23" t="str">
        <f>'Serviços eventuais'!D114</f>
        <v>H</v>
      </c>
      <c r="D293" s="542">
        <f>'Serviços eventuais'!E114</f>
        <v>500</v>
      </c>
      <c r="E293" s="495">
        <f>'Serviços eventuais'!F114</f>
        <v>33.25</v>
      </c>
      <c r="F293" s="495">
        <f>'Serviços eventuais'!G114</f>
        <v>16625</v>
      </c>
      <c r="G293" s="510"/>
    </row>
    <row r="294" spans="1:7" s="435" customFormat="1">
      <c r="A294" s="494" t="str">
        <f>'Serviços eventuais'!A115</f>
        <v>20.112</v>
      </c>
      <c r="B294" s="433" t="str">
        <f>'Serviços eventuais'!C115</f>
        <v>MAO DE OBRA -  Ajudante geral com encargos complementares</v>
      </c>
      <c r="C294" s="23" t="str">
        <f>'Serviços eventuais'!D115</f>
        <v>H</v>
      </c>
      <c r="D294" s="542">
        <f>'Serviços eventuais'!E115</f>
        <v>400</v>
      </c>
      <c r="E294" s="495">
        <f>'Serviços eventuais'!F115</f>
        <v>27.63</v>
      </c>
      <c r="F294" s="495">
        <f>'Serviços eventuais'!G115</f>
        <v>11052</v>
      </c>
      <c r="G294" s="510"/>
    </row>
    <row r="295" spans="1:7" s="435" customFormat="1" ht="32.25" thickBot="1">
      <c r="A295" s="494" t="str">
        <f>'Serviços eventuais'!A116</f>
        <v>20.113</v>
      </c>
      <c r="B295" s="433" t="str">
        <f>'Serviços eventuais'!C116</f>
        <v>MAO DE OBRA - Marceneiro especializado em manutenção de móveis - pequenos reparos e ajustes - com encargos complementares</v>
      </c>
      <c r="C295" s="23" t="str">
        <f>'Serviços eventuais'!D116</f>
        <v>H</v>
      </c>
      <c r="D295" s="542">
        <f>'Serviços eventuais'!E116</f>
        <v>80</v>
      </c>
      <c r="E295" s="495">
        <f>'Serviços eventuais'!F116</f>
        <v>30.51</v>
      </c>
      <c r="F295" s="495">
        <f>'Serviços eventuais'!G116</f>
        <v>2440.8000000000002</v>
      </c>
      <c r="G295" s="510"/>
    </row>
    <row r="296" spans="1:7" ht="6.75" customHeight="1">
      <c r="A296" s="768"/>
      <c r="B296" s="769"/>
      <c r="C296" s="769"/>
      <c r="D296" s="769"/>
      <c r="E296" s="769"/>
      <c r="F296" s="769"/>
      <c r="G296" s="386"/>
    </row>
    <row r="297" spans="1:7" ht="17.25" customHeight="1">
      <c r="A297" s="549"/>
      <c r="B297" s="535" t="s">
        <v>1739</v>
      </c>
      <c r="C297" s="496" t="s">
        <v>922</v>
      </c>
      <c r="D297" s="512"/>
      <c r="E297" s="513"/>
      <c r="F297" s="550">
        <f>ROUND(SUM(F183:F295),2)</f>
        <v>809827.66</v>
      </c>
      <c r="G297" s="216"/>
    </row>
    <row r="298" spans="1:7" ht="15.75" customHeight="1">
      <c r="A298" s="549"/>
      <c r="B298" s="535" t="s">
        <v>923</v>
      </c>
      <c r="C298" s="496" t="s">
        <v>922</v>
      </c>
      <c r="D298" s="497">
        <f>BDI!O37</f>
        <v>0.28359639436619744</v>
      </c>
      <c r="E298" s="498"/>
      <c r="F298" s="550">
        <f>ROUND((F297*D298),2)</f>
        <v>229664.2</v>
      </c>
      <c r="G298" s="521"/>
    </row>
    <row r="299" spans="1:7" ht="15.75" customHeight="1">
      <c r="A299" s="549"/>
      <c r="B299" s="535" t="s">
        <v>924</v>
      </c>
      <c r="C299" s="496" t="s">
        <v>922</v>
      </c>
      <c r="D299" s="772"/>
      <c r="E299" s="772"/>
      <c r="F299" s="550">
        <f>F297+F298</f>
        <v>1039491.8600000001</v>
      </c>
      <c r="G299" s="499">
        <f>F299-'Serviços eventuais'!G120</f>
        <v>0</v>
      </c>
    </row>
    <row r="300" spans="1:7" ht="35.25" customHeight="1">
      <c r="A300" s="501"/>
      <c r="B300" s="297"/>
      <c r="C300" s="255"/>
      <c r="D300" s="408"/>
      <c r="E300" s="499"/>
      <c r="F300" s="499"/>
      <c r="G300" s="499"/>
    </row>
    <row r="301" spans="1:7" ht="32.25" customHeight="1">
      <c r="A301" s="775" t="s">
        <v>1766</v>
      </c>
      <c r="B301" s="775"/>
      <c r="C301" s="775"/>
      <c r="D301" s="775"/>
      <c r="E301" s="775"/>
      <c r="F301" s="775"/>
      <c r="G301" s="386"/>
    </row>
    <row r="302" spans="1:7" ht="30.75" customHeight="1">
      <c r="A302" s="782" t="s">
        <v>1738</v>
      </c>
      <c r="B302" s="783"/>
      <c r="C302" s="783"/>
      <c r="D302" s="784"/>
      <c r="E302" s="780">
        <f>G7+G8+F165+F299+F178</f>
        <v>2416219.3600000003</v>
      </c>
      <c r="F302" s="781"/>
      <c r="G302" s="552">
        <f>E302-(SUM('RESUMO CUSTOS _PREÇO'!H19:H23))</f>
        <v>0</v>
      </c>
    </row>
    <row r="303" spans="1:7">
      <c r="A303" s="776"/>
      <c r="B303" s="765"/>
      <c r="C303" s="765"/>
      <c r="D303" s="765"/>
      <c r="E303" s="765"/>
      <c r="F303" s="765"/>
      <c r="G303" s="386"/>
    </row>
  </sheetData>
  <mergeCells count="18">
    <mergeCell ref="D299:E299"/>
    <mergeCell ref="A301:F301"/>
    <mergeCell ref="A303:F303"/>
    <mergeCell ref="A163:B163"/>
    <mergeCell ref="A164:B164"/>
    <mergeCell ref="A165:B165"/>
    <mergeCell ref="D165:E165"/>
    <mergeCell ref="A180:F180"/>
    <mergeCell ref="E302:F302"/>
    <mergeCell ref="A302:D302"/>
    <mergeCell ref="A4:F4"/>
    <mergeCell ref="A1:B1"/>
    <mergeCell ref="C1:D1"/>
    <mergeCell ref="A296:F296"/>
    <mergeCell ref="B181:F181"/>
    <mergeCell ref="B5:G5"/>
    <mergeCell ref="D178:E178"/>
    <mergeCell ref="A3:G3"/>
  </mergeCells>
  <phoneticPr fontId="15" type="noConversion"/>
  <pageMargins left="0.511811024" right="0.511811024" top="0.78740157499999996" bottom="0.78740157499999996" header="0.31496062000000002" footer="0.31496062000000002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0C5F-5140-424A-9175-A00A80E28FD2}">
  <sheetPr>
    <tabColor theme="7" tint="0.39997558519241921"/>
    <pageSetUpPr fitToPage="1"/>
  </sheetPr>
  <dimension ref="A1:M123"/>
  <sheetViews>
    <sheetView topLeftCell="A87" zoomScale="90" zoomScaleNormal="90" workbookViewId="0">
      <selection activeCell="G58" sqref="G58"/>
    </sheetView>
  </sheetViews>
  <sheetFormatPr defaultRowHeight="15.75"/>
  <cols>
    <col min="1" max="1" width="5.140625" style="33" customWidth="1"/>
    <col min="2" max="2" width="15.5703125" style="178" customWidth="1"/>
    <col min="3" max="3" width="15.85546875" style="33" customWidth="1"/>
    <col min="4" max="4" width="40.28515625" style="33" customWidth="1"/>
    <col min="5" max="5" width="13" style="33" customWidth="1"/>
    <col min="6" max="6" width="25.140625" style="33" customWidth="1"/>
    <col min="7" max="7" width="26.5703125" customWidth="1"/>
    <col min="8" max="8" width="19.28515625" style="33" customWidth="1"/>
    <col min="9" max="11" width="15.7109375" style="33" customWidth="1"/>
    <col min="12" max="12" width="3.7109375" style="33" customWidth="1"/>
    <col min="13" max="16384" width="9.140625" style="33"/>
  </cols>
  <sheetData>
    <row r="1" spans="1:11" ht="20.25">
      <c r="A1" s="785" t="s">
        <v>1431</v>
      </c>
      <c r="B1" s="786"/>
      <c r="C1" s="786"/>
      <c r="D1" s="786"/>
      <c r="E1" s="786"/>
      <c r="F1" s="786"/>
    </row>
    <row r="2" spans="1:11" ht="28.5" customHeight="1" thickBot="1">
      <c r="A2" s="787" t="s">
        <v>936</v>
      </c>
      <c r="B2" s="788"/>
      <c r="C2" s="788"/>
      <c r="D2" s="788"/>
      <c r="E2" s="788"/>
      <c r="F2" s="788"/>
    </row>
    <row r="3" spans="1:11" ht="8.25" customHeight="1">
      <c r="A3" s="662"/>
      <c r="B3" s="662"/>
      <c r="C3" s="662"/>
      <c r="D3" s="662"/>
      <c r="E3" s="662"/>
      <c r="F3" s="662"/>
    </row>
    <row r="4" spans="1:11" ht="42.75" customHeight="1">
      <c r="A4" s="588" t="s">
        <v>1198</v>
      </c>
      <c r="B4" s="588"/>
      <c r="C4" s="588"/>
      <c r="D4" s="588"/>
      <c r="E4" s="588"/>
      <c r="F4" s="588"/>
    </row>
    <row r="5" spans="1:11" ht="15" customHeight="1">
      <c r="A5" s="180" t="s">
        <v>937</v>
      </c>
      <c r="B5" s="589" t="s">
        <v>938</v>
      </c>
      <c r="C5" s="589"/>
      <c r="D5" s="589"/>
      <c r="E5" s="589"/>
      <c r="F5" s="181"/>
    </row>
    <row r="6" spans="1:11" ht="15" customHeight="1">
      <c r="A6" s="302" t="s">
        <v>939</v>
      </c>
      <c r="B6" s="590" t="s">
        <v>940</v>
      </c>
      <c r="C6" s="591"/>
      <c r="D6" s="591"/>
      <c r="E6" s="592"/>
      <c r="F6" s="135" t="s">
        <v>941</v>
      </c>
    </row>
    <row r="7" spans="1:11" ht="15" customHeight="1">
      <c r="A7" s="302" t="s">
        <v>942</v>
      </c>
      <c r="B7" s="590" t="s">
        <v>943</v>
      </c>
      <c r="C7" s="591"/>
      <c r="D7" s="591"/>
      <c r="E7" s="592"/>
      <c r="F7" s="305"/>
    </row>
    <row r="8" spans="1:11">
      <c r="A8" s="302" t="s">
        <v>944</v>
      </c>
      <c r="B8" s="593" t="s">
        <v>1203</v>
      </c>
      <c r="C8" s="594"/>
      <c r="D8" s="594"/>
      <c r="E8" s="595"/>
      <c r="F8" s="303"/>
    </row>
    <row r="9" spans="1:11" ht="8.25" customHeight="1">
      <c r="A9" s="596"/>
      <c r="B9" s="596"/>
      <c r="C9" s="596"/>
      <c r="D9" s="596"/>
      <c r="E9" s="596"/>
      <c r="F9" s="596"/>
    </row>
    <row r="10" spans="1:11" ht="15" customHeight="1">
      <c r="A10" s="661" t="s">
        <v>946</v>
      </c>
      <c r="B10" s="661"/>
      <c r="C10" s="661"/>
      <c r="D10" s="661"/>
      <c r="E10" s="661"/>
      <c r="F10" s="661"/>
    </row>
    <row r="11" spans="1:11" ht="15" customHeight="1">
      <c r="A11" s="180">
        <v>1</v>
      </c>
      <c r="B11" s="590" t="s">
        <v>947</v>
      </c>
      <c r="C11" s="591"/>
      <c r="D11" s="591"/>
      <c r="E11" s="591"/>
      <c r="F11" s="135" t="s">
        <v>1159</v>
      </c>
      <c r="G11" s="793"/>
      <c r="H11" s="794"/>
      <c r="I11" s="794"/>
      <c r="J11" s="794"/>
      <c r="K11" s="794"/>
    </row>
    <row r="12" spans="1:11" ht="15" customHeight="1">
      <c r="A12" s="180">
        <v>2</v>
      </c>
      <c r="B12" s="590" t="s">
        <v>948</v>
      </c>
      <c r="C12" s="591"/>
      <c r="D12" s="591"/>
      <c r="E12" s="591"/>
      <c r="F12" s="181"/>
      <c r="G12" s="793"/>
    </row>
    <row r="13" spans="1:11" ht="15" customHeight="1">
      <c r="A13" s="180">
        <v>3</v>
      </c>
      <c r="B13" s="590" t="s">
        <v>949</v>
      </c>
      <c r="C13" s="591"/>
      <c r="D13" s="591"/>
      <c r="E13" s="591"/>
      <c r="F13" s="387"/>
      <c r="G13" s="793"/>
    </row>
    <row r="14" spans="1:11">
      <c r="A14" s="180">
        <v>4</v>
      </c>
      <c r="B14" s="590" t="s">
        <v>950</v>
      </c>
      <c r="C14" s="591"/>
      <c r="D14" s="591"/>
      <c r="E14" s="591"/>
      <c r="F14" s="404"/>
      <c r="G14" s="793"/>
    </row>
    <row r="15" spans="1:11" ht="15" customHeight="1">
      <c r="A15" s="180">
        <v>5</v>
      </c>
      <c r="B15" s="590" t="s">
        <v>951</v>
      </c>
      <c r="C15" s="591"/>
      <c r="D15" s="591"/>
      <c r="E15" s="591"/>
      <c r="F15" s="182"/>
      <c r="G15" s="793"/>
    </row>
    <row r="16" spans="1:11" ht="9.75" customHeight="1">
      <c r="A16" s="596"/>
      <c r="B16" s="596"/>
      <c r="C16" s="596"/>
      <c r="D16" s="596"/>
      <c r="E16" s="596"/>
      <c r="F16" s="596"/>
    </row>
    <row r="17" spans="1:13" ht="31.5">
      <c r="A17" s="651"/>
      <c r="B17" s="651"/>
      <c r="C17" s="651"/>
      <c r="D17" s="651"/>
      <c r="E17" s="651"/>
      <c r="F17" s="405" t="s">
        <v>1263</v>
      </c>
    </row>
    <row r="18" spans="1:13" ht="16.5" customHeight="1" thickBot="1">
      <c r="A18" s="307">
        <v>1</v>
      </c>
      <c r="B18" s="658" t="s">
        <v>954</v>
      </c>
      <c r="C18" s="659"/>
      <c r="D18" s="660"/>
      <c r="E18" s="308" t="s">
        <v>955</v>
      </c>
      <c r="F18" s="184" t="s">
        <v>956</v>
      </c>
      <c r="G18" s="790" t="s">
        <v>1271</v>
      </c>
      <c r="H18" s="795" t="s">
        <v>1272</v>
      </c>
      <c r="I18" s="795"/>
      <c r="J18" s="795"/>
      <c r="K18" s="795"/>
      <c r="M18" s="33" t="s">
        <v>1275</v>
      </c>
    </row>
    <row r="19" spans="1:13">
      <c r="A19" s="186" t="s">
        <v>937</v>
      </c>
      <c r="B19" s="612" t="s">
        <v>957</v>
      </c>
      <c r="C19" s="613"/>
      <c r="D19" s="621"/>
      <c r="E19" s="187"/>
      <c r="F19" s="169">
        <f>K20</f>
        <v>5850.5166666666664</v>
      </c>
      <c r="G19" s="790"/>
      <c r="H19" s="407" t="s">
        <v>1274</v>
      </c>
      <c r="I19" s="407" t="s">
        <v>1276</v>
      </c>
      <c r="J19" s="407" t="s">
        <v>1278</v>
      </c>
      <c r="K19" s="407" t="s">
        <v>1273</v>
      </c>
      <c r="M19" s="33" t="s">
        <v>1277</v>
      </c>
    </row>
    <row r="20" spans="1:13">
      <c r="A20" s="188" t="s">
        <v>939</v>
      </c>
      <c r="B20" s="597" t="s">
        <v>958</v>
      </c>
      <c r="C20" s="598"/>
      <c r="D20" s="599"/>
      <c r="E20" s="189"/>
      <c r="F20" s="171"/>
      <c r="G20" s="790"/>
      <c r="H20" s="163">
        <v>5684.68</v>
      </c>
      <c r="I20" s="163">
        <v>6472.84</v>
      </c>
      <c r="J20" s="163">
        <v>5394.03</v>
      </c>
      <c r="K20" s="163">
        <f>AVERAGE(H20:J20)</f>
        <v>5850.5166666666664</v>
      </c>
      <c r="M20" s="33" t="s">
        <v>1280</v>
      </c>
    </row>
    <row r="21" spans="1:13">
      <c r="A21" s="190" t="s">
        <v>942</v>
      </c>
      <c r="B21" s="597" t="s">
        <v>959</v>
      </c>
      <c r="C21" s="598"/>
      <c r="D21" s="599"/>
      <c r="E21" s="189"/>
      <c r="F21" s="171"/>
      <c r="G21" s="790"/>
    </row>
    <row r="22" spans="1:13">
      <c r="A22" s="188" t="s">
        <v>944</v>
      </c>
      <c r="B22" s="597" t="s">
        <v>960</v>
      </c>
      <c r="C22" s="598"/>
      <c r="D22" s="599"/>
      <c r="E22" s="189"/>
      <c r="F22" s="171"/>
      <c r="G22" s="790"/>
      <c r="H22" s="796"/>
      <c r="I22" s="796"/>
      <c r="J22" s="796"/>
      <c r="K22" s="796"/>
    </row>
    <row r="23" spans="1:13">
      <c r="A23" s="190" t="s">
        <v>945</v>
      </c>
      <c r="B23" s="597" t="s">
        <v>961</v>
      </c>
      <c r="C23" s="598"/>
      <c r="D23" s="599"/>
      <c r="E23" s="189"/>
      <c r="F23" s="171"/>
      <c r="G23" s="790"/>
      <c r="H23" s="228"/>
      <c r="I23" s="228"/>
      <c r="J23" s="228"/>
      <c r="K23" s="228"/>
    </row>
    <row r="24" spans="1:13">
      <c r="A24" s="188" t="s">
        <v>962</v>
      </c>
      <c r="B24" s="597" t="s">
        <v>963</v>
      </c>
      <c r="C24" s="598"/>
      <c r="D24" s="599"/>
      <c r="E24" s="189"/>
      <c r="F24" s="171"/>
      <c r="G24" s="790"/>
      <c r="H24" s="157"/>
      <c r="I24" s="157"/>
      <c r="J24" s="157"/>
      <c r="K24" s="422"/>
    </row>
    <row r="25" spans="1:13" ht="16.5" thickBot="1">
      <c r="A25" s="191"/>
      <c r="B25" s="602" t="s">
        <v>964</v>
      </c>
      <c r="C25" s="603"/>
      <c r="D25" s="625"/>
      <c r="E25" s="192"/>
      <c r="F25" s="172">
        <f>SUM(F19:F24)</f>
        <v>5850.5166666666664</v>
      </c>
    </row>
    <row r="26" spans="1:13" ht="11.25" customHeight="1" thickBot="1">
      <c r="A26" s="193"/>
      <c r="C26" s="178"/>
      <c r="D26" s="178"/>
      <c r="F26" s="194"/>
    </row>
    <row r="27" spans="1:13" ht="16.5" thickBot="1">
      <c r="A27" s="195">
        <v>2</v>
      </c>
      <c r="B27" s="649" t="s">
        <v>965</v>
      </c>
      <c r="C27" s="650"/>
      <c r="D27" s="650"/>
      <c r="E27" s="196"/>
      <c r="F27" s="197"/>
    </row>
    <row r="28" spans="1:13" ht="6" customHeight="1" thickBot="1">
      <c r="A28" s="199"/>
      <c r="B28" s="200"/>
      <c r="C28" s="200"/>
      <c r="D28" s="200"/>
      <c r="F28" s="194"/>
    </row>
    <row r="29" spans="1:13" ht="16.5" thickBot="1">
      <c r="A29" s="201" t="s">
        <v>83</v>
      </c>
      <c r="B29" s="618" t="s">
        <v>966</v>
      </c>
      <c r="C29" s="619"/>
      <c r="D29" s="620"/>
      <c r="E29" s="202" t="s">
        <v>967</v>
      </c>
      <c r="F29" s="203" t="s">
        <v>956</v>
      </c>
    </row>
    <row r="30" spans="1:13">
      <c r="A30" s="186" t="s">
        <v>937</v>
      </c>
      <c r="B30" s="612" t="s">
        <v>968</v>
      </c>
      <c r="C30" s="613"/>
      <c r="D30" s="614"/>
      <c r="E30" s="174">
        <f>1/12</f>
        <v>8.3333333333333329E-2</v>
      </c>
      <c r="F30" s="204">
        <f>F25*$E$30</f>
        <v>487.5430555555555</v>
      </c>
    </row>
    <row r="31" spans="1:13">
      <c r="A31" s="190" t="s">
        <v>939</v>
      </c>
      <c r="B31" s="597" t="s">
        <v>969</v>
      </c>
      <c r="C31" s="598"/>
      <c r="D31" s="611"/>
      <c r="E31" s="175">
        <f>(1/3)/12</f>
        <v>2.7777777777777776E-2</v>
      </c>
      <c r="F31" s="204">
        <f t="shared" ref="F31" si="0">F25*$E$31</f>
        <v>162.51435185185184</v>
      </c>
    </row>
    <row r="32" spans="1:13">
      <c r="A32" s="188" t="s">
        <v>942</v>
      </c>
      <c r="B32" s="597" t="s">
        <v>970</v>
      </c>
      <c r="C32" s="598"/>
      <c r="D32" s="611"/>
      <c r="E32" s="392">
        <f>E45</f>
        <v>0.40800000000000008</v>
      </c>
      <c r="F32" s="205">
        <f t="shared" ref="F32" si="1">(F30+F31)*$E$32</f>
        <v>265.22342222222227</v>
      </c>
    </row>
    <row r="33" spans="1:6" ht="16.5" thickBot="1">
      <c r="A33" s="191"/>
      <c r="B33" s="602" t="s">
        <v>971</v>
      </c>
      <c r="C33" s="603"/>
      <c r="D33" s="604"/>
      <c r="E33" s="206"/>
      <c r="F33" s="207">
        <f>SUM(F30:F32)</f>
        <v>915.28082962962958</v>
      </c>
    </row>
    <row r="34" spans="1:6" ht="5.25" customHeight="1" thickBot="1">
      <c r="A34" s="199"/>
      <c r="B34" s="200"/>
      <c r="C34" s="200"/>
      <c r="D34" s="200"/>
      <c r="F34" s="194"/>
    </row>
    <row r="35" spans="1:6" ht="48" customHeight="1" thickBot="1">
      <c r="A35" s="201" t="s">
        <v>87</v>
      </c>
      <c r="B35" s="615" t="s">
        <v>972</v>
      </c>
      <c r="C35" s="616"/>
      <c r="D35" s="617"/>
      <c r="E35" s="209" t="s">
        <v>967</v>
      </c>
      <c r="F35" s="210" t="s">
        <v>956</v>
      </c>
    </row>
    <row r="36" spans="1:6">
      <c r="A36" s="186" t="s">
        <v>937</v>
      </c>
      <c r="B36" s="612" t="s">
        <v>973</v>
      </c>
      <c r="C36" s="613"/>
      <c r="D36" s="614"/>
      <c r="E36" s="391">
        <f>MC!D17</f>
        <v>0.2</v>
      </c>
      <c r="F36" s="204">
        <f t="shared" ref="F36" si="2">(F25*$E$36)</f>
        <v>1170.1033333333332</v>
      </c>
    </row>
    <row r="37" spans="1:6">
      <c r="A37" s="190" t="s">
        <v>939</v>
      </c>
      <c r="B37" s="597" t="s">
        <v>974</v>
      </c>
      <c r="C37" s="598"/>
      <c r="D37" s="611"/>
      <c r="E37" s="391">
        <f>MC!D18</f>
        <v>2.5000000000000001E-2</v>
      </c>
      <c r="F37" s="204">
        <f>(F25*$E$37)</f>
        <v>146.26291666666665</v>
      </c>
    </row>
    <row r="38" spans="1:6">
      <c r="A38" s="190" t="s">
        <v>942</v>
      </c>
      <c r="B38" s="597" t="s">
        <v>975</v>
      </c>
      <c r="C38" s="598"/>
      <c r="D38" s="611"/>
      <c r="E38" s="391">
        <f>MC!D19</f>
        <v>0.06</v>
      </c>
      <c r="F38" s="204">
        <f>(F25*$E$38)</f>
        <v>351.03099999999995</v>
      </c>
    </row>
    <row r="39" spans="1:6">
      <c r="A39" s="190" t="s">
        <v>944</v>
      </c>
      <c r="B39" s="597" t="s">
        <v>976</v>
      </c>
      <c r="C39" s="598"/>
      <c r="D39" s="611"/>
      <c r="E39" s="391">
        <f>MC!D21</f>
        <v>1.4999999999999999E-2</v>
      </c>
      <c r="F39" s="204">
        <f>(F25*$E$39)</f>
        <v>87.757749999999987</v>
      </c>
    </row>
    <row r="40" spans="1:6">
      <c r="A40" s="190" t="s">
        <v>945</v>
      </c>
      <c r="B40" s="597" t="s">
        <v>977</v>
      </c>
      <c r="C40" s="598"/>
      <c r="D40" s="611"/>
      <c r="E40" s="391">
        <f>MC!D22</f>
        <v>0.01</v>
      </c>
      <c r="F40" s="204">
        <f>(F25*$E$40)</f>
        <v>58.505166666666668</v>
      </c>
    </row>
    <row r="41" spans="1:6">
      <c r="A41" s="190" t="s">
        <v>962</v>
      </c>
      <c r="B41" s="597" t="s">
        <v>978</v>
      </c>
      <c r="C41" s="598"/>
      <c r="D41" s="611"/>
      <c r="E41" s="391">
        <f>MC!D23</f>
        <v>6.0000000000000001E-3</v>
      </c>
      <c r="F41" s="204">
        <f>(F25*$E$41)</f>
        <v>35.103099999999998</v>
      </c>
    </row>
    <row r="42" spans="1:6">
      <c r="A42" s="190" t="s">
        <v>979</v>
      </c>
      <c r="B42" s="597" t="s">
        <v>980</v>
      </c>
      <c r="C42" s="598"/>
      <c r="D42" s="611"/>
      <c r="E42" s="391">
        <f>MC!D24</f>
        <v>2E-3</v>
      </c>
      <c r="F42" s="204">
        <f>(F25*$E$42)</f>
        <v>11.701033333333333</v>
      </c>
    </row>
    <row r="43" spans="1:6">
      <c r="A43" s="190" t="s">
        <v>207</v>
      </c>
      <c r="B43" s="597" t="s">
        <v>981</v>
      </c>
      <c r="C43" s="598"/>
      <c r="D43" s="611"/>
      <c r="E43" s="391">
        <f>MC!D25</f>
        <v>0.08</v>
      </c>
      <c r="F43" s="204">
        <f>(F25*$E$43)</f>
        <v>468.04133333333334</v>
      </c>
    </row>
    <row r="44" spans="1:6">
      <c r="A44" s="188" t="s">
        <v>930</v>
      </c>
      <c r="B44" s="597" t="s">
        <v>1209</v>
      </c>
      <c r="C44" s="598"/>
      <c r="D44" s="611"/>
      <c r="E44" s="391">
        <f>MC!D26</f>
        <v>0.01</v>
      </c>
      <c r="F44" s="204">
        <f>(F$25*$E$44)</f>
        <v>58.505166666666668</v>
      </c>
    </row>
    <row r="45" spans="1:6" ht="16.5" thickBot="1">
      <c r="A45" s="191"/>
      <c r="B45" s="602" t="s">
        <v>982</v>
      </c>
      <c r="C45" s="603"/>
      <c r="D45" s="604"/>
      <c r="E45" s="211">
        <f>SUM(E36:E44)</f>
        <v>0.40800000000000008</v>
      </c>
      <c r="F45" s="207">
        <f>SUM(F36:F44)</f>
        <v>2387.0108</v>
      </c>
    </row>
    <row r="46" spans="1:6" ht="4.5" customHeight="1" thickBot="1">
      <c r="A46" s="212"/>
      <c r="C46" s="178"/>
      <c r="D46" s="178"/>
      <c r="F46" s="194"/>
    </row>
    <row r="47" spans="1:6" ht="16.5" thickBot="1">
      <c r="A47" s="201" t="s">
        <v>90</v>
      </c>
      <c r="B47" s="618" t="s">
        <v>983</v>
      </c>
      <c r="C47" s="619"/>
      <c r="D47" s="620"/>
      <c r="E47" s="202" t="s">
        <v>967</v>
      </c>
      <c r="F47" s="203" t="s">
        <v>956</v>
      </c>
    </row>
    <row r="48" spans="1:6">
      <c r="A48" s="186" t="s">
        <v>937</v>
      </c>
      <c r="B48" s="612" t="s">
        <v>984</v>
      </c>
      <c r="C48" s="613"/>
      <c r="D48" s="621"/>
      <c r="E48" s="174"/>
      <c r="F48" s="204">
        <f>(MC!C32)-(0.06*F19)</f>
        <v>26.609000000000037</v>
      </c>
    </row>
    <row r="49" spans="1:6">
      <c r="A49" s="188" t="s">
        <v>939</v>
      </c>
      <c r="B49" s="597" t="s">
        <v>985</v>
      </c>
      <c r="C49" s="598"/>
      <c r="D49" s="599"/>
      <c r="E49" s="174"/>
      <c r="F49" s="204">
        <f>MC!C37*MC!D48</f>
        <v>649.75059999999996</v>
      </c>
    </row>
    <row r="50" spans="1:6">
      <c r="A50" s="190" t="s">
        <v>942</v>
      </c>
      <c r="B50" s="597" t="s">
        <v>986</v>
      </c>
      <c r="C50" s="598"/>
      <c r="D50" s="599"/>
      <c r="E50" s="174"/>
      <c r="F50" s="204">
        <f>MC!C43</f>
        <v>6.5870833333333341</v>
      </c>
    </row>
    <row r="51" spans="1:6">
      <c r="A51" s="188" t="s">
        <v>944</v>
      </c>
      <c r="B51" s="597" t="s">
        <v>1796</v>
      </c>
      <c r="C51" s="598"/>
      <c r="D51" s="599"/>
      <c r="E51" s="175"/>
      <c r="F51" s="204"/>
    </row>
    <row r="52" spans="1:6">
      <c r="A52" s="188"/>
      <c r="B52" s="827" t="s">
        <v>1794</v>
      </c>
      <c r="C52" s="828"/>
      <c r="D52" s="828"/>
      <c r="E52" s="392"/>
      <c r="F52" s="205"/>
    </row>
    <row r="53" spans="1:6" ht="16.5" thickBot="1">
      <c r="A53" s="191"/>
      <c r="B53" s="602" t="s">
        <v>987</v>
      </c>
      <c r="C53" s="603"/>
      <c r="D53" s="604"/>
      <c r="E53" s="206"/>
      <c r="F53" s="207">
        <f>SUM(F48:F51)</f>
        <v>682.94668333333334</v>
      </c>
    </row>
    <row r="54" spans="1:6" ht="3.75" customHeight="1" thickBot="1">
      <c r="A54" s="212"/>
      <c r="C54" s="178"/>
      <c r="D54" s="178"/>
      <c r="F54" s="194"/>
    </row>
    <row r="55" spans="1:6" ht="19.5" customHeight="1" thickBot="1">
      <c r="A55" s="213"/>
      <c r="B55" s="605" t="s">
        <v>988</v>
      </c>
      <c r="C55" s="606"/>
      <c r="D55" s="607"/>
      <c r="E55" s="214"/>
      <c r="F55" s="215">
        <f t="shared" ref="F55" si="3">F53+F45+F33</f>
        <v>3985.2383129629634</v>
      </c>
    </row>
    <row r="56" spans="1:6" ht="3.75" customHeight="1">
      <c r="A56" s="212"/>
      <c r="C56" s="178"/>
      <c r="D56" s="178"/>
      <c r="F56" s="194"/>
    </row>
    <row r="57" spans="1:6" ht="4.5" customHeight="1" thickBot="1">
      <c r="A57" s="199"/>
      <c r="B57" s="200"/>
      <c r="C57" s="200"/>
      <c r="D57" s="200"/>
      <c r="E57" s="217"/>
      <c r="F57" s="208"/>
    </row>
    <row r="58" spans="1:6" ht="16.5" thickBot="1">
      <c r="A58" s="218">
        <v>3</v>
      </c>
      <c r="B58" s="646" t="s">
        <v>989</v>
      </c>
      <c r="C58" s="647"/>
      <c r="D58" s="648"/>
      <c r="E58" s="219" t="s">
        <v>967</v>
      </c>
      <c r="F58" s="369" t="s">
        <v>956</v>
      </c>
    </row>
    <row r="59" spans="1:6">
      <c r="A59" s="220" t="s">
        <v>937</v>
      </c>
      <c r="B59" s="643" t="s">
        <v>990</v>
      </c>
      <c r="C59" s="644"/>
      <c r="D59" s="645"/>
      <c r="E59" s="393">
        <f>((1/30)*7)/12</f>
        <v>1.9444444444444445E-2</v>
      </c>
      <c r="F59" s="375">
        <f t="shared" ref="F59" si="4">$E$59*F25</f>
        <v>113.7600462962963</v>
      </c>
    </row>
    <row r="60" spans="1:6">
      <c r="A60" s="221" t="s">
        <v>939</v>
      </c>
      <c r="B60" s="600" t="s">
        <v>991</v>
      </c>
      <c r="C60" s="589"/>
      <c r="D60" s="601"/>
      <c r="E60" s="394">
        <f>E45</f>
        <v>0.40800000000000008</v>
      </c>
      <c r="F60" s="378">
        <f>$E$60*F59</f>
        <v>46.414098888888901</v>
      </c>
    </row>
    <row r="61" spans="1:6">
      <c r="A61" s="221" t="s">
        <v>942</v>
      </c>
      <c r="B61" s="600" t="s">
        <v>1035</v>
      </c>
      <c r="C61" s="589"/>
      <c r="D61" s="601"/>
      <c r="E61" s="394"/>
      <c r="F61" s="378">
        <f t="shared" ref="F61" si="5">(F25+F30+F31)*0.08*0.4</f>
        <v>208.01837037037035</v>
      </c>
    </row>
    <row r="62" spans="1:6">
      <c r="A62" s="221" t="s">
        <v>944</v>
      </c>
      <c r="B62" s="600" t="s">
        <v>993</v>
      </c>
      <c r="C62" s="589"/>
      <c r="D62" s="601"/>
      <c r="E62" s="394">
        <f>((1/12)*0.1)</f>
        <v>8.3333333333333332E-3</v>
      </c>
      <c r="F62" s="378">
        <f t="shared" ref="F62" si="6">$E$62*F25</f>
        <v>48.754305555555554</v>
      </c>
    </row>
    <row r="63" spans="1:6">
      <c r="A63" s="221" t="s">
        <v>945</v>
      </c>
      <c r="B63" s="600" t="s">
        <v>994</v>
      </c>
      <c r="C63" s="589"/>
      <c r="D63" s="601"/>
      <c r="E63" s="394">
        <v>0.08</v>
      </c>
      <c r="F63" s="378">
        <f>$E$63*F62</f>
        <v>3.9003444444444444</v>
      </c>
    </row>
    <row r="64" spans="1:6" ht="16.5" thickBot="1">
      <c r="A64" s="222" t="s">
        <v>962</v>
      </c>
      <c r="B64" s="600" t="s">
        <v>1034</v>
      </c>
      <c r="C64" s="589"/>
      <c r="D64" s="601"/>
      <c r="E64" s="368"/>
      <c r="F64" s="380">
        <f t="shared" ref="F64" si="7">(F25+F30+F31)*0.08*0.4*0.1</f>
        <v>20.801837037037036</v>
      </c>
    </row>
    <row r="65" spans="1:6" ht="16.5" thickBot="1">
      <c r="A65" s="223"/>
      <c r="B65" s="608" t="s">
        <v>995</v>
      </c>
      <c r="C65" s="609"/>
      <c r="D65" s="610"/>
      <c r="E65" s="224"/>
      <c r="F65" s="371">
        <f t="shared" ref="F65" si="8">SUM(F59:F64)</f>
        <v>441.64900259259258</v>
      </c>
    </row>
    <row r="66" spans="1:6" ht="5.25" customHeight="1" thickBot="1">
      <c r="A66" s="212"/>
      <c r="C66" s="178"/>
      <c r="D66" s="178"/>
      <c r="F66" s="194"/>
    </row>
    <row r="67" spans="1:6" ht="16.5" thickBot="1">
      <c r="A67" s="225">
        <v>4</v>
      </c>
      <c r="B67" s="666" t="s">
        <v>996</v>
      </c>
      <c r="C67" s="667"/>
      <c r="D67" s="667"/>
      <c r="E67" s="667"/>
      <c r="F67" s="667"/>
    </row>
    <row r="68" spans="1:6" ht="8.25" customHeight="1" thickBot="1">
      <c r="A68" s="226"/>
      <c r="B68" s="227"/>
      <c r="C68" s="200"/>
      <c r="D68" s="200"/>
      <c r="E68" s="228"/>
      <c r="F68" s="229"/>
    </row>
    <row r="69" spans="1:6" ht="16.5" thickBot="1">
      <c r="A69" s="230" t="s">
        <v>997</v>
      </c>
      <c r="B69" s="669" t="s">
        <v>998</v>
      </c>
      <c r="C69" s="669"/>
      <c r="D69" s="669"/>
      <c r="E69" s="231" t="s">
        <v>967</v>
      </c>
      <c r="F69" s="232" t="s">
        <v>956</v>
      </c>
    </row>
    <row r="70" spans="1:6">
      <c r="A70" s="233" t="s">
        <v>937</v>
      </c>
      <c r="B70" s="643" t="s">
        <v>999</v>
      </c>
      <c r="C70" s="644"/>
      <c r="D70" s="645"/>
      <c r="E70" s="395">
        <f>1/12</f>
        <v>8.3333333333333329E-2</v>
      </c>
      <c r="F70" s="234">
        <f t="shared" ref="F70" si="9">$E$70*F25</f>
        <v>487.5430555555555</v>
      </c>
    </row>
    <row r="71" spans="1:6">
      <c r="A71" s="235" t="s">
        <v>939</v>
      </c>
      <c r="B71" s="600" t="s">
        <v>1000</v>
      </c>
      <c r="C71" s="589"/>
      <c r="D71" s="601"/>
      <c r="E71" s="396">
        <f>((1/30)/12)*5</f>
        <v>1.388888888888889E-2</v>
      </c>
      <c r="F71" s="234">
        <f t="shared" ref="F71" si="10">$E$71*F25</f>
        <v>81.257175925925935</v>
      </c>
    </row>
    <row r="72" spans="1:6">
      <c r="A72" s="236" t="s">
        <v>942</v>
      </c>
      <c r="B72" s="612" t="s">
        <v>1001</v>
      </c>
      <c r="C72" s="613"/>
      <c r="D72" s="621"/>
      <c r="E72" s="396">
        <f>(((1/30)*5)/12)*0.05</f>
        <v>6.9444444444444447E-4</v>
      </c>
      <c r="F72" s="234">
        <f t="shared" ref="F72" si="11">$E$72*F25</f>
        <v>4.0628587962962959</v>
      </c>
    </row>
    <row r="73" spans="1:6">
      <c r="A73" s="237" t="s">
        <v>944</v>
      </c>
      <c r="B73" s="597" t="s">
        <v>1002</v>
      </c>
      <c r="C73" s="598"/>
      <c r="D73" s="599"/>
      <c r="E73" s="396">
        <f>((1/30)*3)/12</f>
        <v>8.3333333333333332E-3</v>
      </c>
      <c r="F73" s="234">
        <f t="shared" ref="F73" si="12">$E$73*F25</f>
        <v>48.754305555555554</v>
      </c>
    </row>
    <row r="74" spans="1:6">
      <c r="A74" s="237" t="s">
        <v>945</v>
      </c>
      <c r="B74" s="597" t="s">
        <v>1003</v>
      </c>
      <c r="C74" s="598"/>
      <c r="D74" s="599"/>
      <c r="E74" s="396">
        <f>(((4/3)*(4/12))/12)*0.01</f>
        <v>3.7037037037037035E-4</v>
      </c>
      <c r="F74" s="234">
        <f t="shared" ref="F74" si="13">$E$74*F25</f>
        <v>2.1668580246913578</v>
      </c>
    </row>
    <row r="75" spans="1:6">
      <c r="A75" s="238"/>
      <c r="B75" s="629" t="s">
        <v>1004</v>
      </c>
      <c r="C75" s="630"/>
      <c r="D75" s="631"/>
      <c r="E75" s="396"/>
      <c r="F75" s="239">
        <f>SUM(F70:F74)</f>
        <v>623.78425385802461</v>
      </c>
    </row>
    <row r="76" spans="1:6">
      <c r="A76" s="238" t="s">
        <v>962</v>
      </c>
      <c r="B76" s="597" t="s">
        <v>1005</v>
      </c>
      <c r="C76" s="598"/>
      <c r="D76" s="599"/>
      <c r="E76" s="397">
        <f>E45</f>
        <v>0.40800000000000008</v>
      </c>
      <c r="F76" s="240">
        <f t="shared" ref="F76" si="14">$E$76*F75</f>
        <v>254.5039755740741</v>
      </c>
    </row>
    <row r="77" spans="1:6" ht="16.5" thickBot="1">
      <c r="A77" s="241"/>
      <c r="B77" s="602" t="s">
        <v>1006</v>
      </c>
      <c r="C77" s="603"/>
      <c r="D77" s="625"/>
      <c r="E77" s="242"/>
      <c r="F77" s="243">
        <f t="shared" ref="F77" si="15">F75+F76</f>
        <v>878.28822943209866</v>
      </c>
    </row>
    <row r="78" spans="1:6" ht="6.75" customHeight="1" thickBot="1">
      <c r="A78" s="199"/>
      <c r="B78" s="200"/>
      <c r="C78" s="200"/>
      <c r="D78" s="200"/>
      <c r="E78" s="244"/>
      <c r="F78" s="208"/>
    </row>
    <row r="79" spans="1:6" ht="16.5" thickBot="1">
      <c r="A79" s="230" t="s">
        <v>1007</v>
      </c>
      <c r="B79" s="669" t="s">
        <v>1008</v>
      </c>
      <c r="C79" s="669"/>
      <c r="D79" s="669"/>
      <c r="E79" s="231" t="s">
        <v>967</v>
      </c>
      <c r="F79" s="232" t="s">
        <v>956</v>
      </c>
    </row>
    <row r="80" spans="1:6">
      <c r="A80" s="245" t="s">
        <v>937</v>
      </c>
      <c r="B80" s="676" t="s">
        <v>1009</v>
      </c>
      <c r="C80" s="676"/>
      <c r="D80" s="676"/>
      <c r="E80" s="177"/>
      <c r="F80" s="234">
        <v>0</v>
      </c>
    </row>
    <row r="81" spans="1:6">
      <c r="A81" s="212" t="s">
        <v>939</v>
      </c>
      <c r="B81" s="597" t="s">
        <v>1005</v>
      </c>
      <c r="C81" s="598"/>
      <c r="D81" s="598"/>
      <c r="E81" s="176">
        <f>E45</f>
        <v>0.40800000000000008</v>
      </c>
      <c r="F81" s="240">
        <f>F80*E81</f>
        <v>0</v>
      </c>
    </row>
    <row r="82" spans="1:6" ht="16.5" thickBot="1">
      <c r="A82" s="191"/>
      <c r="B82" s="602" t="s">
        <v>1010</v>
      </c>
      <c r="C82" s="603"/>
      <c r="D82" s="604"/>
      <c r="E82" s="246"/>
      <c r="F82" s="247">
        <f>SUM(F80:F81)</f>
        <v>0</v>
      </c>
    </row>
    <row r="83" spans="1:6" ht="5.25" customHeight="1" thickBot="1">
      <c r="A83" s="248"/>
      <c r="B83" s="249"/>
      <c r="C83" s="249"/>
      <c r="D83" s="249"/>
      <c r="E83" s="250"/>
      <c r="F83" s="251"/>
    </row>
    <row r="84" spans="1:6" ht="18" customHeight="1" thickBot="1">
      <c r="A84" s="252"/>
      <c r="B84" s="632" t="s">
        <v>1011</v>
      </c>
      <c r="C84" s="633"/>
      <c r="D84" s="634"/>
      <c r="E84" s="253"/>
      <c r="F84" s="254">
        <f>F77+F82</f>
        <v>878.28822943209866</v>
      </c>
    </row>
    <row r="85" spans="1:6" ht="9.75" customHeight="1" thickBot="1">
      <c r="A85" s="255"/>
      <c r="B85" s="256"/>
      <c r="C85" s="256"/>
      <c r="D85" s="256"/>
      <c r="E85" s="244"/>
      <c r="F85" s="208"/>
    </row>
    <row r="86" spans="1:6" ht="22.5" customHeight="1" thickBot="1">
      <c r="A86" s="257">
        <v>5</v>
      </c>
      <c r="B86" s="673" t="s">
        <v>1012</v>
      </c>
      <c r="C86" s="674"/>
      <c r="D86" s="675"/>
      <c r="E86" s="258" t="s">
        <v>955</v>
      </c>
      <c r="F86" s="259" t="s">
        <v>956</v>
      </c>
    </row>
    <row r="87" spans="1:6">
      <c r="A87" s="260" t="s">
        <v>937</v>
      </c>
      <c r="B87" s="612" t="s">
        <v>1013</v>
      </c>
      <c r="C87" s="613"/>
      <c r="D87" s="621"/>
      <c r="E87" s="261"/>
      <c r="F87" s="262">
        <f>('materiais da preventiva'!E165)</f>
        <v>40.354999999999997</v>
      </c>
    </row>
    <row r="88" spans="1:6">
      <c r="A88" s="263" t="s">
        <v>939</v>
      </c>
      <c r="B88" s="597" t="s">
        <v>1014</v>
      </c>
      <c r="C88" s="598"/>
      <c r="D88" s="599"/>
      <c r="E88" s="264"/>
      <c r="F88" s="262">
        <v>0</v>
      </c>
    </row>
    <row r="89" spans="1:6">
      <c r="A89" s="265" t="s">
        <v>942</v>
      </c>
      <c r="B89" s="626" t="s">
        <v>1015</v>
      </c>
      <c r="C89" s="627"/>
      <c r="D89" s="628"/>
      <c r="E89" s="264"/>
      <c r="F89" s="262">
        <v>0</v>
      </c>
    </row>
    <row r="90" spans="1:6">
      <c r="A90" s="266" t="s">
        <v>944</v>
      </c>
      <c r="B90" s="626" t="s">
        <v>1016</v>
      </c>
      <c r="C90" s="627"/>
      <c r="D90" s="628"/>
      <c r="E90" s="267"/>
      <c r="F90" s="268">
        <v>0</v>
      </c>
    </row>
    <row r="91" spans="1:6" ht="20.25" customHeight="1" thickBot="1">
      <c r="A91" s="269"/>
      <c r="B91" s="640" t="s">
        <v>1017</v>
      </c>
      <c r="C91" s="641"/>
      <c r="D91" s="642"/>
      <c r="E91" s="270"/>
      <c r="F91" s="271">
        <f>SUM(F87:F90)</f>
        <v>40.354999999999997</v>
      </c>
    </row>
    <row r="92" spans="1:6" ht="6" customHeight="1" thickBot="1">
      <c r="A92" s="255"/>
      <c r="B92" s="200"/>
      <c r="C92" s="200"/>
      <c r="D92" s="200"/>
      <c r="E92" s="217"/>
      <c r="F92" s="208"/>
    </row>
    <row r="93" spans="1:6" ht="20.25" customHeight="1" thickBot="1">
      <c r="A93" s="272"/>
      <c r="B93" s="622" t="s">
        <v>1018</v>
      </c>
      <c r="C93" s="623"/>
      <c r="D93" s="624"/>
      <c r="E93" s="273"/>
      <c r="F93" s="274">
        <f t="shared" ref="F93" si="16">F91+F84+F65+F55+F25</f>
        <v>11196.047211654321</v>
      </c>
    </row>
    <row r="94" spans="1:6" ht="9" customHeight="1" thickBot="1">
      <c r="A94" s="255"/>
      <c r="B94" s="200"/>
      <c r="C94" s="200"/>
      <c r="D94" s="200"/>
      <c r="E94" s="217"/>
      <c r="F94" s="208"/>
    </row>
    <row r="95" spans="1:6" ht="16.5" thickBot="1">
      <c r="A95" s="275">
        <v>6</v>
      </c>
      <c r="B95" s="637" t="s">
        <v>1019</v>
      </c>
      <c r="C95" s="638"/>
      <c r="D95" s="639"/>
      <c r="E95" s="276" t="s">
        <v>955</v>
      </c>
      <c r="F95" s="277" t="s">
        <v>956</v>
      </c>
    </row>
    <row r="96" spans="1:6">
      <c r="A96" s="260" t="s">
        <v>937</v>
      </c>
      <c r="B96" s="612" t="s">
        <v>1020</v>
      </c>
      <c r="C96" s="613"/>
      <c r="D96" s="621"/>
      <c r="E96" s="398">
        <v>0.05</v>
      </c>
      <c r="F96" s="278">
        <f>$E$96*F93</f>
        <v>559.80236058271601</v>
      </c>
    </row>
    <row r="97" spans="1:6">
      <c r="A97" s="263" t="s">
        <v>939</v>
      </c>
      <c r="B97" s="684" t="s">
        <v>1021</v>
      </c>
      <c r="C97" s="685"/>
      <c r="D97" s="686"/>
      <c r="E97" s="399">
        <v>7.3999999999999996E-2</v>
      </c>
      <c r="F97" s="282">
        <f>$E$97*(F93+F96)</f>
        <v>869.93286834554067</v>
      </c>
    </row>
    <row r="98" spans="1:6">
      <c r="A98" s="263"/>
      <c r="B98" s="279" t="s">
        <v>1022</v>
      </c>
      <c r="C98" s="280" t="s">
        <v>1023</v>
      </c>
      <c r="D98" s="281"/>
      <c r="E98" s="400">
        <f>1-(E99)</f>
        <v>0.88749999999999996</v>
      </c>
      <c r="F98" s="282">
        <f>(F93+F96+F97)/$E$98</f>
        <v>14226.233735867694</v>
      </c>
    </row>
    <row r="99" spans="1:6">
      <c r="A99" s="263" t="s">
        <v>942</v>
      </c>
      <c r="B99" s="597" t="s">
        <v>1024</v>
      </c>
      <c r="C99" s="598"/>
      <c r="D99" s="599"/>
      <c r="E99" s="401">
        <f>E100+E101+E102</f>
        <v>0.1125</v>
      </c>
      <c r="F99" s="283"/>
    </row>
    <row r="100" spans="1:6">
      <c r="A100" s="263"/>
      <c r="B100" s="626" t="s">
        <v>931</v>
      </c>
      <c r="C100" s="627"/>
      <c r="D100" s="628"/>
      <c r="E100" s="399">
        <f>MC!C81</f>
        <v>7.5999999999999998E-2</v>
      </c>
      <c r="F100" s="284">
        <f>$E$100*F98</f>
        <v>1081.1937639259447</v>
      </c>
    </row>
    <row r="101" spans="1:6">
      <c r="A101" s="265"/>
      <c r="B101" s="626" t="s">
        <v>932</v>
      </c>
      <c r="C101" s="627"/>
      <c r="D101" s="628"/>
      <c r="E101" s="399">
        <f>MC!C82</f>
        <v>1.6500000000000001E-2</v>
      </c>
      <c r="F101" s="284">
        <f>$E$101*F98</f>
        <v>234.73285664181697</v>
      </c>
    </row>
    <row r="102" spans="1:6">
      <c r="A102" s="263"/>
      <c r="B102" s="597" t="s">
        <v>1025</v>
      </c>
      <c r="C102" s="598"/>
      <c r="D102" s="599"/>
      <c r="E102" s="399">
        <f>MC!C80</f>
        <v>0.02</v>
      </c>
      <c r="F102" s="284">
        <f>$E$102*F98</f>
        <v>284.52467471735389</v>
      </c>
    </row>
    <row r="103" spans="1:6" ht="23.25" customHeight="1" thickBot="1">
      <c r="A103" s="269"/>
      <c r="B103" s="640" t="s">
        <v>1026</v>
      </c>
      <c r="C103" s="641"/>
      <c r="D103" s="642"/>
      <c r="E103" s="285"/>
      <c r="F103" s="286">
        <f>F96+F97+F101+F102+F100</f>
        <v>3030.1865242133722</v>
      </c>
    </row>
    <row r="104" spans="1:6" ht="16.5" thickBot="1">
      <c r="A104" s="255"/>
      <c r="B104" s="200"/>
      <c r="C104" s="200"/>
      <c r="D104" s="200"/>
      <c r="E104" s="287"/>
      <c r="F104" s="208"/>
    </row>
    <row r="105" spans="1:6" ht="20.100000000000001" customHeight="1" thickBot="1">
      <c r="A105" s="670" t="s">
        <v>1027</v>
      </c>
      <c r="B105" s="671"/>
      <c r="C105" s="671"/>
      <c r="D105" s="671"/>
      <c r="E105" s="671"/>
      <c r="F105" s="671"/>
    </row>
    <row r="106" spans="1:6" ht="45" customHeight="1" thickBot="1">
      <c r="A106" s="288"/>
      <c r="B106" s="635" t="s">
        <v>1028</v>
      </c>
      <c r="C106" s="635"/>
      <c r="D106" s="635"/>
      <c r="E106" s="636"/>
      <c r="F106" s="406" t="str">
        <f t="shared" ref="F106" si="17">F17</f>
        <v>Operador de audio e vídeo</v>
      </c>
    </row>
    <row r="107" spans="1:6" ht="20.100000000000001" customHeight="1">
      <c r="A107" s="289">
        <v>1</v>
      </c>
      <c r="B107" s="588" t="s">
        <v>954</v>
      </c>
      <c r="C107" s="588"/>
      <c r="D107" s="588"/>
      <c r="E107" s="588"/>
      <c r="F107" s="383">
        <f t="shared" ref="F107" si="18">F25</f>
        <v>5850.5166666666664</v>
      </c>
    </row>
    <row r="108" spans="1:6" ht="29.25" customHeight="1">
      <c r="A108" s="289">
        <v>2</v>
      </c>
      <c r="B108" s="588" t="s">
        <v>965</v>
      </c>
      <c r="C108" s="588"/>
      <c r="D108" s="588"/>
      <c r="E108" s="588"/>
      <c r="F108" s="290">
        <f t="shared" ref="F108" si="19">F55</f>
        <v>3985.2383129629634</v>
      </c>
    </row>
    <row r="109" spans="1:6" ht="20.100000000000001" customHeight="1">
      <c r="A109" s="289">
        <v>3</v>
      </c>
      <c r="B109" s="588" t="s">
        <v>989</v>
      </c>
      <c r="C109" s="588"/>
      <c r="D109" s="588"/>
      <c r="E109" s="588"/>
      <c r="F109" s="290">
        <f>F65</f>
        <v>441.64900259259258</v>
      </c>
    </row>
    <row r="110" spans="1:6" ht="20.100000000000001" customHeight="1">
      <c r="A110" s="289">
        <v>4</v>
      </c>
      <c r="B110" s="588" t="s">
        <v>996</v>
      </c>
      <c r="C110" s="588"/>
      <c r="D110" s="588"/>
      <c r="E110" s="588"/>
      <c r="F110" s="290">
        <f>F84</f>
        <v>878.28822943209866</v>
      </c>
    </row>
    <row r="111" spans="1:6" s="157" customFormat="1" ht="20.100000000000001" customHeight="1">
      <c r="A111" s="289">
        <v>5</v>
      </c>
      <c r="B111" s="588" t="s">
        <v>1012</v>
      </c>
      <c r="C111" s="588"/>
      <c r="D111" s="588"/>
      <c r="E111" s="588"/>
      <c r="F111" s="290">
        <f>F91</f>
        <v>40.354999999999997</v>
      </c>
    </row>
    <row r="112" spans="1:6" s="157" customFormat="1" ht="20.100000000000001" customHeight="1" thickBot="1">
      <c r="A112" s="292">
        <v>6</v>
      </c>
      <c r="B112" s="665" t="s">
        <v>1019</v>
      </c>
      <c r="C112" s="665"/>
      <c r="D112" s="665"/>
      <c r="E112" s="665"/>
      <c r="F112" s="293">
        <f>F103</f>
        <v>3030.1865242133722</v>
      </c>
    </row>
    <row r="113" spans="1:10" s="157" customFormat="1" ht="20.100000000000001" customHeight="1" thickBot="1">
      <c r="A113" s="295"/>
      <c r="B113" s="677" t="s">
        <v>1029</v>
      </c>
      <c r="C113" s="678"/>
      <c r="D113" s="678"/>
      <c r="E113" s="679"/>
      <c r="F113" s="296">
        <f>SUM(F107:F112)</f>
        <v>14226.233735867692</v>
      </c>
    </row>
    <row r="114" spans="1:10" s="157" customFormat="1" ht="9" customHeight="1" thickBot="1">
      <c r="A114" s="255"/>
      <c r="B114" s="297"/>
      <c r="C114" s="297"/>
      <c r="D114" s="297"/>
      <c r="E114" s="297"/>
      <c r="F114" s="216"/>
    </row>
    <row r="115" spans="1:10" s="157" customFormat="1" ht="19.5" customHeight="1">
      <c r="A115" s="681" t="s">
        <v>1030</v>
      </c>
      <c r="B115" s="682"/>
      <c r="C115" s="682"/>
      <c r="D115" s="682"/>
      <c r="E115" s="682"/>
      <c r="F115" s="682"/>
    </row>
    <row r="116" spans="1:10" s="157" customFormat="1" ht="36.75" customHeight="1">
      <c r="A116" s="298"/>
      <c r="B116" s="587"/>
      <c r="C116" s="587"/>
      <c r="D116" s="587"/>
      <c r="E116" s="587"/>
      <c r="F116" s="405" t="str">
        <f>F106</f>
        <v>Operador de audio e vídeo</v>
      </c>
    </row>
    <row r="117" spans="1:10" s="157" customFormat="1">
      <c r="A117" s="299"/>
      <c r="B117" s="680" t="s">
        <v>1031</v>
      </c>
      <c r="C117" s="680"/>
      <c r="D117" s="680"/>
      <c r="E117" s="680"/>
      <c r="F117" s="300">
        <f>F113</f>
        <v>14226.233735867692</v>
      </c>
    </row>
    <row r="118" spans="1:10">
      <c r="A118" s="299"/>
      <c r="B118" s="680" t="s">
        <v>1264</v>
      </c>
      <c r="C118" s="680"/>
      <c r="D118" s="680"/>
      <c r="E118" s="680"/>
      <c r="F118" s="300">
        <f>ROUND(F117/144,2)</f>
        <v>98.79</v>
      </c>
      <c r="G118" s="414" t="s">
        <v>1279</v>
      </c>
    </row>
    <row r="119" spans="1:10" ht="23.25" customHeight="1">
      <c r="A119" s="255"/>
      <c r="B119" s="255"/>
      <c r="C119" s="255"/>
      <c r="D119" s="255"/>
      <c r="E119" s="255"/>
      <c r="F119" s="408"/>
    </row>
    <row r="120" spans="1:10" ht="33" customHeight="1">
      <c r="A120" s="792" t="s">
        <v>1270</v>
      </c>
      <c r="B120" s="792"/>
      <c r="C120" s="792"/>
      <c r="D120" s="792"/>
      <c r="E120" s="792"/>
      <c r="F120" s="792"/>
      <c r="G120" s="792"/>
      <c r="H120" s="792"/>
      <c r="I120" s="792"/>
      <c r="J120" s="792"/>
    </row>
    <row r="121" spans="1:10" s="410" customFormat="1" ht="18.75">
      <c r="A121" s="798" t="s">
        <v>1063</v>
      </c>
      <c r="B121" s="798"/>
      <c r="C121" s="409" t="s">
        <v>1041</v>
      </c>
      <c r="D121" s="791" t="s">
        <v>1265</v>
      </c>
      <c r="E121" s="791"/>
      <c r="F121" s="409" t="s">
        <v>1266</v>
      </c>
      <c r="G121" s="409" t="s">
        <v>1269</v>
      </c>
      <c r="H121" s="791" t="s">
        <v>1267</v>
      </c>
      <c r="I121" s="791"/>
      <c r="J121" s="791"/>
    </row>
    <row r="122" spans="1:10" s="410" customFormat="1" ht="33.75" customHeight="1">
      <c r="A122" s="798"/>
      <c r="B122" s="798"/>
      <c r="C122" s="411">
        <v>16</v>
      </c>
      <c r="D122" s="797" t="s">
        <v>1064</v>
      </c>
      <c r="E122" s="797"/>
      <c r="F122" s="413">
        <f>F118</f>
        <v>98.79</v>
      </c>
      <c r="G122" s="412" t="s">
        <v>992</v>
      </c>
      <c r="H122" s="789" t="s">
        <v>1268</v>
      </c>
      <c r="I122" s="789"/>
      <c r="J122" s="789"/>
    </row>
    <row r="123" spans="1:10" s="410" customFormat="1" ht="38.25" customHeight="1">
      <c r="A123" s="798"/>
      <c r="B123" s="798"/>
      <c r="C123" s="411">
        <v>17</v>
      </c>
      <c r="D123" s="797" t="s">
        <v>1065</v>
      </c>
      <c r="E123" s="797"/>
      <c r="F123" s="412">
        <v>127.32</v>
      </c>
      <c r="G123" s="413"/>
      <c r="H123" s="789" t="s">
        <v>1288</v>
      </c>
      <c r="I123" s="789"/>
      <c r="J123" s="789"/>
    </row>
  </sheetData>
  <mergeCells count="113">
    <mergeCell ref="H122:J122"/>
    <mergeCell ref="H123:J123"/>
    <mergeCell ref="G18:G24"/>
    <mergeCell ref="H121:J121"/>
    <mergeCell ref="A120:J120"/>
    <mergeCell ref="G11:G15"/>
    <mergeCell ref="H11:K11"/>
    <mergeCell ref="H18:K18"/>
    <mergeCell ref="H22:K22"/>
    <mergeCell ref="B118:E118"/>
    <mergeCell ref="D122:E122"/>
    <mergeCell ref="D123:E123"/>
    <mergeCell ref="A121:B123"/>
    <mergeCell ref="D121:E121"/>
    <mergeCell ref="B113:E113"/>
    <mergeCell ref="A115:F115"/>
    <mergeCell ref="B116:E116"/>
    <mergeCell ref="B117:E117"/>
    <mergeCell ref="B107:E107"/>
    <mergeCell ref="B108:E108"/>
    <mergeCell ref="B109:E109"/>
    <mergeCell ref="B110:E110"/>
    <mergeCell ref="B111:E111"/>
    <mergeCell ref="B112:E112"/>
    <mergeCell ref="B100:D100"/>
    <mergeCell ref="B101:D101"/>
    <mergeCell ref="B102:D102"/>
    <mergeCell ref="B103:D103"/>
    <mergeCell ref="A105:F105"/>
    <mergeCell ref="B106:E106"/>
    <mergeCell ref="B91:D91"/>
    <mergeCell ref="B93:D93"/>
    <mergeCell ref="B95:D95"/>
    <mergeCell ref="B96:D96"/>
    <mergeCell ref="B97:D97"/>
    <mergeCell ref="B99:D99"/>
    <mergeCell ref="B84:D84"/>
    <mergeCell ref="B86:D86"/>
    <mergeCell ref="B87:D87"/>
    <mergeCell ref="B88:D88"/>
    <mergeCell ref="B89:D89"/>
    <mergeCell ref="B90:D90"/>
    <mergeCell ref="B76:D76"/>
    <mergeCell ref="B77:D77"/>
    <mergeCell ref="B79:D79"/>
    <mergeCell ref="B80:D80"/>
    <mergeCell ref="B81:D81"/>
    <mergeCell ref="B82:D82"/>
    <mergeCell ref="B70:D70"/>
    <mergeCell ref="B71:D71"/>
    <mergeCell ref="B72:D72"/>
    <mergeCell ref="B73:D73"/>
    <mergeCell ref="B74:D74"/>
    <mergeCell ref="B75:D75"/>
    <mergeCell ref="B62:D62"/>
    <mergeCell ref="B63:D63"/>
    <mergeCell ref="B64:D64"/>
    <mergeCell ref="B65:D65"/>
    <mergeCell ref="B67:F67"/>
    <mergeCell ref="B69:D69"/>
    <mergeCell ref="B53:D53"/>
    <mergeCell ref="B55:D55"/>
    <mergeCell ref="B58:D58"/>
    <mergeCell ref="B59:D59"/>
    <mergeCell ref="B60:D60"/>
    <mergeCell ref="B61:D61"/>
    <mergeCell ref="B45:D45"/>
    <mergeCell ref="B47:D47"/>
    <mergeCell ref="B48:D48"/>
    <mergeCell ref="B49:D49"/>
    <mergeCell ref="B50:D50"/>
    <mergeCell ref="B51:D51"/>
    <mergeCell ref="B39:D39"/>
    <mergeCell ref="B40:D40"/>
    <mergeCell ref="B41:D41"/>
    <mergeCell ref="B42:D42"/>
    <mergeCell ref="B43:D43"/>
    <mergeCell ref="B44:D44"/>
    <mergeCell ref="B32:D32"/>
    <mergeCell ref="B33:D33"/>
    <mergeCell ref="B35:D35"/>
    <mergeCell ref="B36:D36"/>
    <mergeCell ref="B37:D37"/>
    <mergeCell ref="B38:D38"/>
    <mergeCell ref="B25:D25"/>
    <mergeCell ref="B27:D27"/>
    <mergeCell ref="B29:D29"/>
    <mergeCell ref="B30:D30"/>
    <mergeCell ref="B31:D31"/>
    <mergeCell ref="B18:D18"/>
    <mergeCell ref="B19:D19"/>
    <mergeCell ref="B20:D20"/>
    <mergeCell ref="B21:D21"/>
    <mergeCell ref="B22:D22"/>
    <mergeCell ref="B23:D23"/>
    <mergeCell ref="B15:E15"/>
    <mergeCell ref="A16:F16"/>
    <mergeCell ref="A17:E17"/>
    <mergeCell ref="B7:E7"/>
    <mergeCell ref="B8:E8"/>
    <mergeCell ref="A9:F9"/>
    <mergeCell ref="A10:F10"/>
    <mergeCell ref="B11:E11"/>
    <mergeCell ref="B24:D24"/>
    <mergeCell ref="A1:F1"/>
    <mergeCell ref="A2:F2"/>
    <mergeCell ref="A3:F3"/>
    <mergeCell ref="A4:F4"/>
    <mergeCell ref="B5:E5"/>
    <mergeCell ref="B6:E6"/>
    <mergeCell ref="B12:E12"/>
    <mergeCell ref="B13:E13"/>
    <mergeCell ref="B14:E14"/>
  </mergeCells>
  <phoneticPr fontId="15" type="noConversion"/>
  <pageMargins left="0.7" right="0.7" top="0.75" bottom="0.75" header="0.3" footer="0.3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3B0E-CA4A-4001-BB14-7082A2191DCB}">
  <sheetPr>
    <tabColor theme="7" tint="0.59999389629810485"/>
    <pageSetUpPr fitToPage="1"/>
  </sheetPr>
  <dimension ref="A1:P175"/>
  <sheetViews>
    <sheetView zoomScale="85" zoomScaleNormal="85" workbookViewId="0">
      <selection activeCell="C15" sqref="C15"/>
    </sheetView>
  </sheetViews>
  <sheetFormatPr defaultRowHeight="16.5"/>
  <cols>
    <col min="1" max="1" width="15.28515625" style="9" customWidth="1"/>
    <col min="2" max="2" width="15.140625" style="99" customWidth="1"/>
    <col min="3" max="3" width="74" style="100" customWidth="1"/>
    <col min="4" max="4" width="9.140625" style="101" customWidth="1"/>
    <col min="5" max="5" width="10.140625" style="9" customWidth="1"/>
    <col min="6" max="6" width="14.85546875" style="455" bestFit="1" customWidth="1"/>
    <col min="7" max="7" width="16.5703125" style="131" customWidth="1"/>
    <col min="8" max="8" width="25.140625" style="102" customWidth="1"/>
    <col min="9" max="9" width="3.7109375" style="15" customWidth="1"/>
    <col min="10" max="10" width="12.5703125" style="15" customWidth="1"/>
    <col min="11" max="11" width="12.85546875" style="34" customWidth="1"/>
    <col min="12" max="12" width="11.85546875" style="34" customWidth="1"/>
    <col min="13" max="13" width="11.28515625" style="34" customWidth="1"/>
    <col min="14" max="14" width="13.7109375" style="15" customWidth="1"/>
    <col min="15" max="15" width="13.140625" style="15" customWidth="1"/>
    <col min="16" max="247" width="9.140625" style="15"/>
    <col min="248" max="248" width="15.28515625" style="15" customWidth="1"/>
    <col min="249" max="249" width="10.140625" style="15" customWidth="1"/>
    <col min="250" max="250" width="7.28515625" style="15" customWidth="1"/>
    <col min="251" max="251" width="68.7109375" style="15" customWidth="1"/>
    <col min="252" max="252" width="15" style="15" customWidth="1"/>
    <col min="253" max="253" width="14.140625" style="15" bestFit="1" customWidth="1"/>
    <col min="254" max="254" width="16.5703125" style="15" customWidth="1"/>
    <col min="255" max="256" width="9.140625" style="15"/>
    <col min="257" max="257" width="8.7109375" style="15" customWidth="1"/>
    <col min="258" max="503" width="9.140625" style="15"/>
    <col min="504" max="504" width="15.28515625" style="15" customWidth="1"/>
    <col min="505" max="505" width="10.140625" style="15" customWidth="1"/>
    <col min="506" max="506" width="7.28515625" style="15" customWidth="1"/>
    <col min="507" max="507" width="68.7109375" style="15" customWidth="1"/>
    <col min="508" max="508" width="15" style="15" customWidth="1"/>
    <col min="509" max="509" width="14.140625" style="15" bestFit="1" customWidth="1"/>
    <col min="510" max="510" width="16.5703125" style="15" customWidth="1"/>
    <col min="511" max="512" width="9.140625" style="15"/>
    <col min="513" max="513" width="8.7109375" style="15" customWidth="1"/>
    <col min="514" max="759" width="9.140625" style="15"/>
    <col min="760" max="760" width="15.28515625" style="15" customWidth="1"/>
    <col min="761" max="761" width="10.140625" style="15" customWidth="1"/>
    <col min="762" max="762" width="7.28515625" style="15" customWidth="1"/>
    <col min="763" max="763" width="68.7109375" style="15" customWidth="1"/>
    <col min="764" max="764" width="15" style="15" customWidth="1"/>
    <col min="765" max="765" width="14.140625" style="15" bestFit="1" customWidth="1"/>
    <col min="766" max="766" width="16.5703125" style="15" customWidth="1"/>
    <col min="767" max="768" width="9.140625" style="15"/>
    <col min="769" max="769" width="8.7109375" style="15" customWidth="1"/>
    <col min="770" max="1015" width="9.140625" style="15"/>
    <col min="1016" max="1016" width="15.28515625" style="15" customWidth="1"/>
    <col min="1017" max="1017" width="10.140625" style="15" customWidth="1"/>
    <col min="1018" max="1018" width="7.28515625" style="15" customWidth="1"/>
    <col min="1019" max="1019" width="68.7109375" style="15" customWidth="1"/>
    <col min="1020" max="1020" width="15" style="15" customWidth="1"/>
    <col min="1021" max="1021" width="14.140625" style="15" bestFit="1" customWidth="1"/>
    <col min="1022" max="1022" width="16.5703125" style="15" customWidth="1"/>
    <col min="1023" max="1024" width="9.140625" style="15"/>
    <col min="1025" max="1025" width="8.7109375" style="15" customWidth="1"/>
    <col min="1026" max="1271" width="9.140625" style="15"/>
    <col min="1272" max="1272" width="15.28515625" style="15" customWidth="1"/>
    <col min="1273" max="1273" width="10.140625" style="15" customWidth="1"/>
    <col min="1274" max="1274" width="7.28515625" style="15" customWidth="1"/>
    <col min="1275" max="1275" width="68.7109375" style="15" customWidth="1"/>
    <col min="1276" max="1276" width="15" style="15" customWidth="1"/>
    <col min="1277" max="1277" width="14.140625" style="15" bestFit="1" customWidth="1"/>
    <col min="1278" max="1278" width="16.5703125" style="15" customWidth="1"/>
    <col min="1279" max="1280" width="9.140625" style="15"/>
    <col min="1281" max="1281" width="8.7109375" style="15" customWidth="1"/>
    <col min="1282" max="1527" width="9.140625" style="15"/>
    <col min="1528" max="1528" width="15.28515625" style="15" customWidth="1"/>
    <col min="1529" max="1529" width="10.140625" style="15" customWidth="1"/>
    <col min="1530" max="1530" width="7.28515625" style="15" customWidth="1"/>
    <col min="1531" max="1531" width="68.7109375" style="15" customWidth="1"/>
    <col min="1532" max="1532" width="15" style="15" customWidth="1"/>
    <col min="1533" max="1533" width="14.140625" style="15" bestFit="1" customWidth="1"/>
    <col min="1534" max="1534" width="16.5703125" style="15" customWidth="1"/>
    <col min="1535" max="1536" width="9.140625" style="15"/>
    <col min="1537" max="1537" width="8.7109375" style="15" customWidth="1"/>
    <col min="1538" max="1783" width="9.140625" style="15"/>
    <col min="1784" max="1784" width="15.28515625" style="15" customWidth="1"/>
    <col min="1785" max="1785" width="10.140625" style="15" customWidth="1"/>
    <col min="1786" max="1786" width="7.28515625" style="15" customWidth="1"/>
    <col min="1787" max="1787" width="68.7109375" style="15" customWidth="1"/>
    <col min="1788" max="1788" width="15" style="15" customWidth="1"/>
    <col min="1789" max="1789" width="14.140625" style="15" bestFit="1" customWidth="1"/>
    <col min="1790" max="1790" width="16.5703125" style="15" customWidth="1"/>
    <col min="1791" max="1792" width="9.140625" style="15"/>
    <col min="1793" max="1793" width="8.7109375" style="15" customWidth="1"/>
    <col min="1794" max="2039" width="9.140625" style="15"/>
    <col min="2040" max="2040" width="15.28515625" style="15" customWidth="1"/>
    <col min="2041" max="2041" width="10.140625" style="15" customWidth="1"/>
    <col min="2042" max="2042" width="7.28515625" style="15" customWidth="1"/>
    <col min="2043" max="2043" width="68.7109375" style="15" customWidth="1"/>
    <col min="2044" max="2044" width="15" style="15" customWidth="1"/>
    <col min="2045" max="2045" width="14.140625" style="15" bestFit="1" customWidth="1"/>
    <col min="2046" max="2046" width="16.5703125" style="15" customWidth="1"/>
    <col min="2047" max="2048" width="9.140625" style="15"/>
    <col min="2049" max="2049" width="8.7109375" style="15" customWidth="1"/>
    <col min="2050" max="2295" width="9.140625" style="15"/>
    <col min="2296" max="2296" width="15.28515625" style="15" customWidth="1"/>
    <col min="2297" max="2297" width="10.140625" style="15" customWidth="1"/>
    <col min="2298" max="2298" width="7.28515625" style="15" customWidth="1"/>
    <col min="2299" max="2299" width="68.7109375" style="15" customWidth="1"/>
    <col min="2300" max="2300" width="15" style="15" customWidth="1"/>
    <col min="2301" max="2301" width="14.140625" style="15" bestFit="1" customWidth="1"/>
    <col min="2302" max="2302" width="16.5703125" style="15" customWidth="1"/>
    <col min="2303" max="2304" width="9.140625" style="15"/>
    <col min="2305" max="2305" width="8.7109375" style="15" customWidth="1"/>
    <col min="2306" max="2551" width="9.140625" style="15"/>
    <col min="2552" max="2552" width="15.28515625" style="15" customWidth="1"/>
    <col min="2553" max="2553" width="10.140625" style="15" customWidth="1"/>
    <col min="2554" max="2554" width="7.28515625" style="15" customWidth="1"/>
    <col min="2555" max="2555" width="68.7109375" style="15" customWidth="1"/>
    <col min="2556" max="2556" width="15" style="15" customWidth="1"/>
    <col min="2557" max="2557" width="14.140625" style="15" bestFit="1" customWidth="1"/>
    <col min="2558" max="2558" width="16.5703125" style="15" customWidth="1"/>
    <col min="2559" max="2560" width="9.140625" style="15"/>
    <col min="2561" max="2561" width="8.7109375" style="15" customWidth="1"/>
    <col min="2562" max="2807" width="9.140625" style="15"/>
    <col min="2808" max="2808" width="15.28515625" style="15" customWidth="1"/>
    <col min="2809" max="2809" width="10.140625" style="15" customWidth="1"/>
    <col min="2810" max="2810" width="7.28515625" style="15" customWidth="1"/>
    <col min="2811" max="2811" width="68.7109375" style="15" customWidth="1"/>
    <col min="2812" max="2812" width="15" style="15" customWidth="1"/>
    <col min="2813" max="2813" width="14.140625" style="15" bestFit="1" customWidth="1"/>
    <col min="2814" max="2814" width="16.5703125" style="15" customWidth="1"/>
    <col min="2815" max="2816" width="9.140625" style="15"/>
    <col min="2817" max="2817" width="8.7109375" style="15" customWidth="1"/>
    <col min="2818" max="3063" width="9.140625" style="15"/>
    <col min="3064" max="3064" width="15.28515625" style="15" customWidth="1"/>
    <col min="3065" max="3065" width="10.140625" style="15" customWidth="1"/>
    <col min="3066" max="3066" width="7.28515625" style="15" customWidth="1"/>
    <col min="3067" max="3067" width="68.7109375" style="15" customWidth="1"/>
    <col min="3068" max="3068" width="15" style="15" customWidth="1"/>
    <col min="3069" max="3069" width="14.140625" style="15" bestFit="1" customWidth="1"/>
    <col min="3070" max="3070" width="16.5703125" style="15" customWidth="1"/>
    <col min="3071" max="3072" width="9.140625" style="15"/>
    <col min="3073" max="3073" width="8.7109375" style="15" customWidth="1"/>
    <col min="3074" max="3319" width="9.140625" style="15"/>
    <col min="3320" max="3320" width="15.28515625" style="15" customWidth="1"/>
    <col min="3321" max="3321" width="10.140625" style="15" customWidth="1"/>
    <col min="3322" max="3322" width="7.28515625" style="15" customWidth="1"/>
    <col min="3323" max="3323" width="68.7109375" style="15" customWidth="1"/>
    <col min="3324" max="3324" width="15" style="15" customWidth="1"/>
    <col min="3325" max="3325" width="14.140625" style="15" bestFit="1" customWidth="1"/>
    <col min="3326" max="3326" width="16.5703125" style="15" customWidth="1"/>
    <col min="3327" max="3328" width="9.140625" style="15"/>
    <col min="3329" max="3329" width="8.7109375" style="15" customWidth="1"/>
    <col min="3330" max="3575" width="9.140625" style="15"/>
    <col min="3576" max="3576" width="15.28515625" style="15" customWidth="1"/>
    <col min="3577" max="3577" width="10.140625" style="15" customWidth="1"/>
    <col min="3578" max="3578" width="7.28515625" style="15" customWidth="1"/>
    <col min="3579" max="3579" width="68.7109375" style="15" customWidth="1"/>
    <col min="3580" max="3580" width="15" style="15" customWidth="1"/>
    <col min="3581" max="3581" width="14.140625" style="15" bestFit="1" customWidth="1"/>
    <col min="3582" max="3582" width="16.5703125" style="15" customWidth="1"/>
    <col min="3583" max="3584" width="9.140625" style="15"/>
    <col min="3585" max="3585" width="8.7109375" style="15" customWidth="1"/>
    <col min="3586" max="3831" width="9.140625" style="15"/>
    <col min="3832" max="3832" width="15.28515625" style="15" customWidth="1"/>
    <col min="3833" max="3833" width="10.140625" style="15" customWidth="1"/>
    <col min="3834" max="3834" width="7.28515625" style="15" customWidth="1"/>
    <col min="3835" max="3835" width="68.7109375" style="15" customWidth="1"/>
    <col min="3836" max="3836" width="15" style="15" customWidth="1"/>
    <col min="3837" max="3837" width="14.140625" style="15" bestFit="1" customWidth="1"/>
    <col min="3838" max="3838" width="16.5703125" style="15" customWidth="1"/>
    <col min="3839" max="3840" width="9.140625" style="15"/>
    <col min="3841" max="3841" width="8.7109375" style="15" customWidth="1"/>
    <col min="3842" max="4087" width="9.140625" style="15"/>
    <col min="4088" max="4088" width="15.28515625" style="15" customWidth="1"/>
    <col min="4089" max="4089" width="10.140625" style="15" customWidth="1"/>
    <col min="4090" max="4090" width="7.28515625" style="15" customWidth="1"/>
    <col min="4091" max="4091" width="68.7109375" style="15" customWidth="1"/>
    <col min="4092" max="4092" width="15" style="15" customWidth="1"/>
    <col min="4093" max="4093" width="14.140625" style="15" bestFit="1" customWidth="1"/>
    <col min="4094" max="4094" width="16.5703125" style="15" customWidth="1"/>
    <col min="4095" max="4096" width="9.140625" style="15"/>
    <col min="4097" max="4097" width="8.7109375" style="15" customWidth="1"/>
    <col min="4098" max="4343" width="9.140625" style="15"/>
    <col min="4344" max="4344" width="15.28515625" style="15" customWidth="1"/>
    <col min="4345" max="4345" width="10.140625" style="15" customWidth="1"/>
    <col min="4346" max="4346" width="7.28515625" style="15" customWidth="1"/>
    <col min="4347" max="4347" width="68.7109375" style="15" customWidth="1"/>
    <col min="4348" max="4348" width="15" style="15" customWidth="1"/>
    <col min="4349" max="4349" width="14.140625" style="15" bestFit="1" customWidth="1"/>
    <col min="4350" max="4350" width="16.5703125" style="15" customWidth="1"/>
    <col min="4351" max="4352" width="9.140625" style="15"/>
    <col min="4353" max="4353" width="8.7109375" style="15" customWidth="1"/>
    <col min="4354" max="4599" width="9.140625" style="15"/>
    <col min="4600" max="4600" width="15.28515625" style="15" customWidth="1"/>
    <col min="4601" max="4601" width="10.140625" style="15" customWidth="1"/>
    <col min="4602" max="4602" width="7.28515625" style="15" customWidth="1"/>
    <col min="4603" max="4603" width="68.7109375" style="15" customWidth="1"/>
    <col min="4604" max="4604" width="15" style="15" customWidth="1"/>
    <col min="4605" max="4605" width="14.140625" style="15" bestFit="1" customWidth="1"/>
    <col min="4606" max="4606" width="16.5703125" style="15" customWidth="1"/>
    <col min="4607" max="4608" width="9.140625" style="15"/>
    <col min="4609" max="4609" width="8.7109375" style="15" customWidth="1"/>
    <col min="4610" max="4855" width="9.140625" style="15"/>
    <col min="4856" max="4856" width="15.28515625" style="15" customWidth="1"/>
    <col min="4857" max="4857" width="10.140625" style="15" customWidth="1"/>
    <col min="4858" max="4858" width="7.28515625" style="15" customWidth="1"/>
    <col min="4859" max="4859" width="68.7109375" style="15" customWidth="1"/>
    <col min="4860" max="4860" width="15" style="15" customWidth="1"/>
    <col min="4861" max="4861" width="14.140625" style="15" bestFit="1" customWidth="1"/>
    <col min="4862" max="4862" width="16.5703125" style="15" customWidth="1"/>
    <col min="4863" max="4864" width="9.140625" style="15"/>
    <col min="4865" max="4865" width="8.7109375" style="15" customWidth="1"/>
    <col min="4866" max="5111" width="9.140625" style="15"/>
    <col min="5112" max="5112" width="15.28515625" style="15" customWidth="1"/>
    <col min="5113" max="5113" width="10.140625" style="15" customWidth="1"/>
    <col min="5114" max="5114" width="7.28515625" style="15" customWidth="1"/>
    <col min="5115" max="5115" width="68.7109375" style="15" customWidth="1"/>
    <col min="5116" max="5116" width="15" style="15" customWidth="1"/>
    <col min="5117" max="5117" width="14.140625" style="15" bestFit="1" customWidth="1"/>
    <col min="5118" max="5118" width="16.5703125" style="15" customWidth="1"/>
    <col min="5119" max="5120" width="9.140625" style="15"/>
    <col min="5121" max="5121" width="8.7109375" style="15" customWidth="1"/>
    <col min="5122" max="5367" width="9.140625" style="15"/>
    <col min="5368" max="5368" width="15.28515625" style="15" customWidth="1"/>
    <col min="5369" max="5369" width="10.140625" style="15" customWidth="1"/>
    <col min="5370" max="5370" width="7.28515625" style="15" customWidth="1"/>
    <col min="5371" max="5371" width="68.7109375" style="15" customWidth="1"/>
    <col min="5372" max="5372" width="15" style="15" customWidth="1"/>
    <col min="5373" max="5373" width="14.140625" style="15" bestFit="1" customWidth="1"/>
    <col min="5374" max="5374" width="16.5703125" style="15" customWidth="1"/>
    <col min="5375" max="5376" width="9.140625" style="15"/>
    <col min="5377" max="5377" width="8.7109375" style="15" customWidth="1"/>
    <col min="5378" max="5623" width="9.140625" style="15"/>
    <col min="5624" max="5624" width="15.28515625" style="15" customWidth="1"/>
    <col min="5625" max="5625" width="10.140625" style="15" customWidth="1"/>
    <col min="5626" max="5626" width="7.28515625" style="15" customWidth="1"/>
    <col min="5627" max="5627" width="68.7109375" style="15" customWidth="1"/>
    <col min="5628" max="5628" width="15" style="15" customWidth="1"/>
    <col min="5629" max="5629" width="14.140625" style="15" bestFit="1" customWidth="1"/>
    <col min="5630" max="5630" width="16.5703125" style="15" customWidth="1"/>
    <col min="5631" max="5632" width="9.140625" style="15"/>
    <col min="5633" max="5633" width="8.7109375" style="15" customWidth="1"/>
    <col min="5634" max="5879" width="9.140625" style="15"/>
    <col min="5880" max="5880" width="15.28515625" style="15" customWidth="1"/>
    <col min="5881" max="5881" width="10.140625" style="15" customWidth="1"/>
    <col min="5882" max="5882" width="7.28515625" style="15" customWidth="1"/>
    <col min="5883" max="5883" width="68.7109375" style="15" customWidth="1"/>
    <col min="5884" max="5884" width="15" style="15" customWidth="1"/>
    <col min="5885" max="5885" width="14.140625" style="15" bestFit="1" customWidth="1"/>
    <col min="5886" max="5886" width="16.5703125" style="15" customWidth="1"/>
    <col min="5887" max="5888" width="9.140625" style="15"/>
    <col min="5889" max="5889" width="8.7109375" style="15" customWidth="1"/>
    <col min="5890" max="6135" width="9.140625" style="15"/>
    <col min="6136" max="6136" width="15.28515625" style="15" customWidth="1"/>
    <col min="6137" max="6137" width="10.140625" style="15" customWidth="1"/>
    <col min="6138" max="6138" width="7.28515625" style="15" customWidth="1"/>
    <col min="6139" max="6139" width="68.7109375" style="15" customWidth="1"/>
    <col min="6140" max="6140" width="15" style="15" customWidth="1"/>
    <col min="6141" max="6141" width="14.140625" style="15" bestFit="1" customWidth="1"/>
    <col min="6142" max="6142" width="16.5703125" style="15" customWidth="1"/>
    <col min="6143" max="6144" width="9.140625" style="15"/>
    <col min="6145" max="6145" width="8.7109375" style="15" customWidth="1"/>
    <col min="6146" max="6391" width="9.140625" style="15"/>
    <col min="6392" max="6392" width="15.28515625" style="15" customWidth="1"/>
    <col min="6393" max="6393" width="10.140625" style="15" customWidth="1"/>
    <col min="6394" max="6394" width="7.28515625" style="15" customWidth="1"/>
    <col min="6395" max="6395" width="68.7109375" style="15" customWidth="1"/>
    <col min="6396" max="6396" width="15" style="15" customWidth="1"/>
    <col min="6397" max="6397" width="14.140625" style="15" bestFit="1" customWidth="1"/>
    <col min="6398" max="6398" width="16.5703125" style="15" customWidth="1"/>
    <col min="6399" max="6400" width="9.140625" style="15"/>
    <col min="6401" max="6401" width="8.7109375" style="15" customWidth="1"/>
    <col min="6402" max="6647" width="9.140625" style="15"/>
    <col min="6648" max="6648" width="15.28515625" style="15" customWidth="1"/>
    <col min="6649" max="6649" width="10.140625" style="15" customWidth="1"/>
    <col min="6650" max="6650" width="7.28515625" style="15" customWidth="1"/>
    <col min="6651" max="6651" width="68.7109375" style="15" customWidth="1"/>
    <col min="6652" max="6652" width="15" style="15" customWidth="1"/>
    <col min="6653" max="6653" width="14.140625" style="15" bestFit="1" customWidth="1"/>
    <col min="6654" max="6654" width="16.5703125" style="15" customWidth="1"/>
    <col min="6655" max="6656" width="9.140625" style="15"/>
    <col min="6657" max="6657" width="8.7109375" style="15" customWidth="1"/>
    <col min="6658" max="6903" width="9.140625" style="15"/>
    <col min="6904" max="6904" width="15.28515625" style="15" customWidth="1"/>
    <col min="6905" max="6905" width="10.140625" style="15" customWidth="1"/>
    <col min="6906" max="6906" width="7.28515625" style="15" customWidth="1"/>
    <col min="6907" max="6907" width="68.7109375" style="15" customWidth="1"/>
    <col min="6908" max="6908" width="15" style="15" customWidth="1"/>
    <col min="6909" max="6909" width="14.140625" style="15" bestFit="1" customWidth="1"/>
    <col min="6910" max="6910" width="16.5703125" style="15" customWidth="1"/>
    <col min="6911" max="6912" width="9.140625" style="15"/>
    <col min="6913" max="6913" width="8.7109375" style="15" customWidth="1"/>
    <col min="6914" max="7159" width="9.140625" style="15"/>
    <col min="7160" max="7160" width="15.28515625" style="15" customWidth="1"/>
    <col min="7161" max="7161" width="10.140625" style="15" customWidth="1"/>
    <col min="7162" max="7162" width="7.28515625" style="15" customWidth="1"/>
    <col min="7163" max="7163" width="68.7109375" style="15" customWidth="1"/>
    <col min="7164" max="7164" width="15" style="15" customWidth="1"/>
    <col min="7165" max="7165" width="14.140625" style="15" bestFit="1" customWidth="1"/>
    <col min="7166" max="7166" width="16.5703125" style="15" customWidth="1"/>
    <col min="7167" max="7168" width="9.140625" style="15"/>
    <col min="7169" max="7169" width="8.7109375" style="15" customWidth="1"/>
    <col min="7170" max="7415" width="9.140625" style="15"/>
    <col min="7416" max="7416" width="15.28515625" style="15" customWidth="1"/>
    <col min="7417" max="7417" width="10.140625" style="15" customWidth="1"/>
    <col min="7418" max="7418" width="7.28515625" style="15" customWidth="1"/>
    <col min="7419" max="7419" width="68.7109375" style="15" customWidth="1"/>
    <col min="7420" max="7420" width="15" style="15" customWidth="1"/>
    <col min="7421" max="7421" width="14.140625" style="15" bestFit="1" customWidth="1"/>
    <col min="7422" max="7422" width="16.5703125" style="15" customWidth="1"/>
    <col min="7423" max="7424" width="9.140625" style="15"/>
    <col min="7425" max="7425" width="8.7109375" style="15" customWidth="1"/>
    <col min="7426" max="7671" width="9.140625" style="15"/>
    <col min="7672" max="7672" width="15.28515625" style="15" customWidth="1"/>
    <col min="7673" max="7673" width="10.140625" style="15" customWidth="1"/>
    <col min="7674" max="7674" width="7.28515625" style="15" customWidth="1"/>
    <col min="7675" max="7675" width="68.7109375" style="15" customWidth="1"/>
    <col min="7676" max="7676" width="15" style="15" customWidth="1"/>
    <col min="7677" max="7677" width="14.140625" style="15" bestFit="1" customWidth="1"/>
    <col min="7678" max="7678" width="16.5703125" style="15" customWidth="1"/>
    <col min="7679" max="7680" width="9.140625" style="15"/>
    <col min="7681" max="7681" width="8.7109375" style="15" customWidth="1"/>
    <col min="7682" max="7927" width="9.140625" style="15"/>
    <col min="7928" max="7928" width="15.28515625" style="15" customWidth="1"/>
    <col min="7929" max="7929" width="10.140625" style="15" customWidth="1"/>
    <col min="7930" max="7930" width="7.28515625" style="15" customWidth="1"/>
    <col min="7931" max="7931" width="68.7109375" style="15" customWidth="1"/>
    <col min="7932" max="7932" width="15" style="15" customWidth="1"/>
    <col min="7933" max="7933" width="14.140625" style="15" bestFit="1" customWidth="1"/>
    <col min="7934" max="7934" width="16.5703125" style="15" customWidth="1"/>
    <col min="7935" max="7936" width="9.140625" style="15"/>
    <col min="7937" max="7937" width="8.7109375" style="15" customWidth="1"/>
    <col min="7938" max="8183" width="9.140625" style="15"/>
    <col min="8184" max="8184" width="15.28515625" style="15" customWidth="1"/>
    <col min="8185" max="8185" width="10.140625" style="15" customWidth="1"/>
    <col min="8186" max="8186" width="7.28515625" style="15" customWidth="1"/>
    <col min="8187" max="8187" width="68.7109375" style="15" customWidth="1"/>
    <col min="8188" max="8188" width="15" style="15" customWidth="1"/>
    <col min="8189" max="8189" width="14.140625" style="15" bestFit="1" customWidth="1"/>
    <col min="8190" max="8190" width="16.5703125" style="15" customWidth="1"/>
    <col min="8191" max="8192" width="9.140625" style="15"/>
    <col min="8193" max="8193" width="8.7109375" style="15" customWidth="1"/>
    <col min="8194" max="8439" width="9.140625" style="15"/>
    <col min="8440" max="8440" width="15.28515625" style="15" customWidth="1"/>
    <col min="8441" max="8441" width="10.140625" style="15" customWidth="1"/>
    <col min="8442" max="8442" width="7.28515625" style="15" customWidth="1"/>
    <col min="8443" max="8443" width="68.7109375" style="15" customWidth="1"/>
    <col min="8444" max="8444" width="15" style="15" customWidth="1"/>
    <col min="8445" max="8445" width="14.140625" style="15" bestFit="1" customWidth="1"/>
    <col min="8446" max="8446" width="16.5703125" style="15" customWidth="1"/>
    <col min="8447" max="8448" width="9.140625" style="15"/>
    <col min="8449" max="8449" width="8.7109375" style="15" customWidth="1"/>
    <col min="8450" max="8695" width="9.140625" style="15"/>
    <col min="8696" max="8696" width="15.28515625" style="15" customWidth="1"/>
    <col min="8697" max="8697" width="10.140625" style="15" customWidth="1"/>
    <col min="8698" max="8698" width="7.28515625" style="15" customWidth="1"/>
    <col min="8699" max="8699" width="68.7109375" style="15" customWidth="1"/>
    <col min="8700" max="8700" width="15" style="15" customWidth="1"/>
    <col min="8701" max="8701" width="14.140625" style="15" bestFit="1" customWidth="1"/>
    <col min="8702" max="8702" width="16.5703125" style="15" customWidth="1"/>
    <col min="8703" max="8704" width="9.140625" style="15"/>
    <col min="8705" max="8705" width="8.7109375" style="15" customWidth="1"/>
    <col min="8706" max="8951" width="9.140625" style="15"/>
    <col min="8952" max="8952" width="15.28515625" style="15" customWidth="1"/>
    <col min="8953" max="8953" width="10.140625" style="15" customWidth="1"/>
    <col min="8954" max="8954" width="7.28515625" style="15" customWidth="1"/>
    <col min="8955" max="8955" width="68.7109375" style="15" customWidth="1"/>
    <col min="8956" max="8956" width="15" style="15" customWidth="1"/>
    <col min="8957" max="8957" width="14.140625" style="15" bestFit="1" customWidth="1"/>
    <col min="8958" max="8958" width="16.5703125" style="15" customWidth="1"/>
    <col min="8959" max="8960" width="9.140625" style="15"/>
    <col min="8961" max="8961" width="8.7109375" style="15" customWidth="1"/>
    <col min="8962" max="9207" width="9.140625" style="15"/>
    <col min="9208" max="9208" width="15.28515625" style="15" customWidth="1"/>
    <col min="9209" max="9209" width="10.140625" style="15" customWidth="1"/>
    <col min="9210" max="9210" width="7.28515625" style="15" customWidth="1"/>
    <col min="9211" max="9211" width="68.7109375" style="15" customWidth="1"/>
    <col min="9212" max="9212" width="15" style="15" customWidth="1"/>
    <col min="9213" max="9213" width="14.140625" style="15" bestFit="1" customWidth="1"/>
    <col min="9214" max="9214" width="16.5703125" style="15" customWidth="1"/>
    <col min="9215" max="9216" width="9.140625" style="15"/>
    <col min="9217" max="9217" width="8.7109375" style="15" customWidth="1"/>
    <col min="9218" max="9463" width="9.140625" style="15"/>
    <col min="9464" max="9464" width="15.28515625" style="15" customWidth="1"/>
    <col min="9465" max="9465" width="10.140625" style="15" customWidth="1"/>
    <col min="9466" max="9466" width="7.28515625" style="15" customWidth="1"/>
    <col min="9467" max="9467" width="68.7109375" style="15" customWidth="1"/>
    <col min="9468" max="9468" width="15" style="15" customWidth="1"/>
    <col min="9469" max="9469" width="14.140625" style="15" bestFit="1" customWidth="1"/>
    <col min="9470" max="9470" width="16.5703125" style="15" customWidth="1"/>
    <col min="9471" max="9472" width="9.140625" style="15"/>
    <col min="9473" max="9473" width="8.7109375" style="15" customWidth="1"/>
    <col min="9474" max="9719" width="9.140625" style="15"/>
    <col min="9720" max="9720" width="15.28515625" style="15" customWidth="1"/>
    <col min="9721" max="9721" width="10.140625" style="15" customWidth="1"/>
    <col min="9722" max="9722" width="7.28515625" style="15" customWidth="1"/>
    <col min="9723" max="9723" width="68.7109375" style="15" customWidth="1"/>
    <col min="9724" max="9724" width="15" style="15" customWidth="1"/>
    <col min="9725" max="9725" width="14.140625" style="15" bestFit="1" customWidth="1"/>
    <col min="9726" max="9726" width="16.5703125" style="15" customWidth="1"/>
    <col min="9727" max="9728" width="9.140625" style="15"/>
    <col min="9729" max="9729" width="8.7109375" style="15" customWidth="1"/>
    <col min="9730" max="9975" width="9.140625" style="15"/>
    <col min="9976" max="9976" width="15.28515625" style="15" customWidth="1"/>
    <col min="9977" max="9977" width="10.140625" style="15" customWidth="1"/>
    <col min="9978" max="9978" width="7.28515625" style="15" customWidth="1"/>
    <col min="9979" max="9979" width="68.7109375" style="15" customWidth="1"/>
    <col min="9980" max="9980" width="15" style="15" customWidth="1"/>
    <col min="9981" max="9981" width="14.140625" style="15" bestFit="1" customWidth="1"/>
    <col min="9982" max="9982" width="16.5703125" style="15" customWidth="1"/>
    <col min="9983" max="9984" width="9.140625" style="15"/>
    <col min="9985" max="9985" width="8.7109375" style="15" customWidth="1"/>
    <col min="9986" max="10231" width="9.140625" style="15"/>
    <col min="10232" max="10232" width="15.28515625" style="15" customWidth="1"/>
    <col min="10233" max="10233" width="10.140625" style="15" customWidth="1"/>
    <col min="10234" max="10234" width="7.28515625" style="15" customWidth="1"/>
    <col min="10235" max="10235" width="68.7109375" style="15" customWidth="1"/>
    <col min="10236" max="10236" width="15" style="15" customWidth="1"/>
    <col min="10237" max="10237" width="14.140625" style="15" bestFit="1" customWidth="1"/>
    <col min="10238" max="10238" width="16.5703125" style="15" customWidth="1"/>
    <col min="10239" max="10240" width="9.140625" style="15"/>
    <col min="10241" max="10241" width="8.7109375" style="15" customWidth="1"/>
    <col min="10242" max="10487" width="9.140625" style="15"/>
    <col min="10488" max="10488" width="15.28515625" style="15" customWidth="1"/>
    <col min="10489" max="10489" width="10.140625" style="15" customWidth="1"/>
    <col min="10490" max="10490" width="7.28515625" style="15" customWidth="1"/>
    <col min="10491" max="10491" width="68.7109375" style="15" customWidth="1"/>
    <col min="10492" max="10492" width="15" style="15" customWidth="1"/>
    <col min="10493" max="10493" width="14.140625" style="15" bestFit="1" customWidth="1"/>
    <col min="10494" max="10494" width="16.5703125" style="15" customWidth="1"/>
    <col min="10495" max="10496" width="9.140625" style="15"/>
    <col min="10497" max="10497" width="8.7109375" style="15" customWidth="1"/>
    <col min="10498" max="10743" width="9.140625" style="15"/>
    <col min="10744" max="10744" width="15.28515625" style="15" customWidth="1"/>
    <col min="10745" max="10745" width="10.140625" style="15" customWidth="1"/>
    <col min="10746" max="10746" width="7.28515625" style="15" customWidth="1"/>
    <col min="10747" max="10747" width="68.7109375" style="15" customWidth="1"/>
    <col min="10748" max="10748" width="15" style="15" customWidth="1"/>
    <col min="10749" max="10749" width="14.140625" style="15" bestFit="1" customWidth="1"/>
    <col min="10750" max="10750" width="16.5703125" style="15" customWidth="1"/>
    <col min="10751" max="10752" width="9.140625" style="15"/>
    <col min="10753" max="10753" width="8.7109375" style="15" customWidth="1"/>
    <col min="10754" max="10999" width="9.140625" style="15"/>
    <col min="11000" max="11000" width="15.28515625" style="15" customWidth="1"/>
    <col min="11001" max="11001" width="10.140625" style="15" customWidth="1"/>
    <col min="11002" max="11002" width="7.28515625" style="15" customWidth="1"/>
    <col min="11003" max="11003" width="68.7109375" style="15" customWidth="1"/>
    <col min="11004" max="11004" width="15" style="15" customWidth="1"/>
    <col min="11005" max="11005" width="14.140625" style="15" bestFit="1" customWidth="1"/>
    <col min="11006" max="11006" width="16.5703125" style="15" customWidth="1"/>
    <col min="11007" max="11008" width="9.140625" style="15"/>
    <col min="11009" max="11009" width="8.7109375" style="15" customWidth="1"/>
    <col min="11010" max="11255" width="9.140625" style="15"/>
    <col min="11256" max="11256" width="15.28515625" style="15" customWidth="1"/>
    <col min="11257" max="11257" width="10.140625" style="15" customWidth="1"/>
    <col min="11258" max="11258" width="7.28515625" style="15" customWidth="1"/>
    <col min="11259" max="11259" width="68.7109375" style="15" customWidth="1"/>
    <col min="11260" max="11260" width="15" style="15" customWidth="1"/>
    <col min="11261" max="11261" width="14.140625" style="15" bestFit="1" customWidth="1"/>
    <col min="11262" max="11262" width="16.5703125" style="15" customWidth="1"/>
    <col min="11263" max="11264" width="9.140625" style="15"/>
    <col min="11265" max="11265" width="8.7109375" style="15" customWidth="1"/>
    <col min="11266" max="11511" width="9.140625" style="15"/>
    <col min="11512" max="11512" width="15.28515625" style="15" customWidth="1"/>
    <col min="11513" max="11513" width="10.140625" style="15" customWidth="1"/>
    <col min="11514" max="11514" width="7.28515625" style="15" customWidth="1"/>
    <col min="11515" max="11515" width="68.7109375" style="15" customWidth="1"/>
    <col min="11516" max="11516" width="15" style="15" customWidth="1"/>
    <col min="11517" max="11517" width="14.140625" style="15" bestFit="1" customWidth="1"/>
    <col min="11518" max="11518" width="16.5703125" style="15" customWidth="1"/>
    <col min="11519" max="11520" width="9.140625" style="15"/>
    <col min="11521" max="11521" width="8.7109375" style="15" customWidth="1"/>
    <col min="11522" max="11767" width="9.140625" style="15"/>
    <col min="11768" max="11768" width="15.28515625" style="15" customWidth="1"/>
    <col min="11769" max="11769" width="10.140625" style="15" customWidth="1"/>
    <col min="11770" max="11770" width="7.28515625" style="15" customWidth="1"/>
    <col min="11771" max="11771" width="68.7109375" style="15" customWidth="1"/>
    <col min="11772" max="11772" width="15" style="15" customWidth="1"/>
    <col min="11773" max="11773" width="14.140625" style="15" bestFit="1" customWidth="1"/>
    <col min="11774" max="11774" width="16.5703125" style="15" customWidth="1"/>
    <col min="11775" max="11776" width="9.140625" style="15"/>
    <col min="11777" max="11777" width="8.7109375" style="15" customWidth="1"/>
    <col min="11778" max="12023" width="9.140625" style="15"/>
    <col min="12024" max="12024" width="15.28515625" style="15" customWidth="1"/>
    <col min="12025" max="12025" width="10.140625" style="15" customWidth="1"/>
    <col min="12026" max="12026" width="7.28515625" style="15" customWidth="1"/>
    <col min="12027" max="12027" width="68.7109375" style="15" customWidth="1"/>
    <col min="12028" max="12028" width="15" style="15" customWidth="1"/>
    <col min="12029" max="12029" width="14.140625" style="15" bestFit="1" customWidth="1"/>
    <col min="12030" max="12030" width="16.5703125" style="15" customWidth="1"/>
    <col min="12031" max="12032" width="9.140625" style="15"/>
    <col min="12033" max="12033" width="8.7109375" style="15" customWidth="1"/>
    <col min="12034" max="12279" width="9.140625" style="15"/>
    <col min="12280" max="12280" width="15.28515625" style="15" customWidth="1"/>
    <col min="12281" max="12281" width="10.140625" style="15" customWidth="1"/>
    <col min="12282" max="12282" width="7.28515625" style="15" customWidth="1"/>
    <col min="12283" max="12283" width="68.7109375" style="15" customWidth="1"/>
    <col min="12284" max="12284" width="15" style="15" customWidth="1"/>
    <col min="12285" max="12285" width="14.140625" style="15" bestFit="1" customWidth="1"/>
    <col min="12286" max="12286" width="16.5703125" style="15" customWidth="1"/>
    <col min="12287" max="12288" width="9.140625" style="15"/>
    <col min="12289" max="12289" width="8.7109375" style="15" customWidth="1"/>
    <col min="12290" max="12535" width="9.140625" style="15"/>
    <col min="12536" max="12536" width="15.28515625" style="15" customWidth="1"/>
    <col min="12537" max="12537" width="10.140625" style="15" customWidth="1"/>
    <col min="12538" max="12538" width="7.28515625" style="15" customWidth="1"/>
    <col min="12539" max="12539" width="68.7109375" style="15" customWidth="1"/>
    <col min="12540" max="12540" width="15" style="15" customWidth="1"/>
    <col min="12541" max="12541" width="14.140625" style="15" bestFit="1" customWidth="1"/>
    <col min="12542" max="12542" width="16.5703125" style="15" customWidth="1"/>
    <col min="12543" max="12544" width="9.140625" style="15"/>
    <col min="12545" max="12545" width="8.7109375" style="15" customWidth="1"/>
    <col min="12546" max="12791" width="9.140625" style="15"/>
    <col min="12792" max="12792" width="15.28515625" style="15" customWidth="1"/>
    <col min="12793" max="12793" width="10.140625" style="15" customWidth="1"/>
    <col min="12794" max="12794" width="7.28515625" style="15" customWidth="1"/>
    <col min="12795" max="12795" width="68.7109375" style="15" customWidth="1"/>
    <col min="12796" max="12796" width="15" style="15" customWidth="1"/>
    <col min="12797" max="12797" width="14.140625" style="15" bestFit="1" customWidth="1"/>
    <col min="12798" max="12798" width="16.5703125" style="15" customWidth="1"/>
    <col min="12799" max="12800" width="9.140625" style="15"/>
    <col min="12801" max="12801" width="8.7109375" style="15" customWidth="1"/>
    <col min="12802" max="13047" width="9.140625" style="15"/>
    <col min="13048" max="13048" width="15.28515625" style="15" customWidth="1"/>
    <col min="13049" max="13049" width="10.140625" style="15" customWidth="1"/>
    <col min="13050" max="13050" width="7.28515625" style="15" customWidth="1"/>
    <col min="13051" max="13051" width="68.7109375" style="15" customWidth="1"/>
    <col min="13052" max="13052" width="15" style="15" customWidth="1"/>
    <col min="13053" max="13053" width="14.140625" style="15" bestFit="1" customWidth="1"/>
    <col min="13054" max="13054" width="16.5703125" style="15" customWidth="1"/>
    <col min="13055" max="13056" width="9.140625" style="15"/>
    <col min="13057" max="13057" width="8.7109375" style="15" customWidth="1"/>
    <col min="13058" max="13303" width="9.140625" style="15"/>
    <col min="13304" max="13304" width="15.28515625" style="15" customWidth="1"/>
    <col min="13305" max="13305" width="10.140625" style="15" customWidth="1"/>
    <col min="13306" max="13306" width="7.28515625" style="15" customWidth="1"/>
    <col min="13307" max="13307" width="68.7109375" style="15" customWidth="1"/>
    <col min="13308" max="13308" width="15" style="15" customWidth="1"/>
    <col min="13309" max="13309" width="14.140625" style="15" bestFit="1" customWidth="1"/>
    <col min="13310" max="13310" width="16.5703125" style="15" customWidth="1"/>
    <col min="13311" max="13312" width="9.140625" style="15"/>
    <col min="13313" max="13313" width="8.7109375" style="15" customWidth="1"/>
    <col min="13314" max="13559" width="9.140625" style="15"/>
    <col min="13560" max="13560" width="15.28515625" style="15" customWidth="1"/>
    <col min="13561" max="13561" width="10.140625" style="15" customWidth="1"/>
    <col min="13562" max="13562" width="7.28515625" style="15" customWidth="1"/>
    <col min="13563" max="13563" width="68.7109375" style="15" customWidth="1"/>
    <col min="13564" max="13564" width="15" style="15" customWidth="1"/>
    <col min="13565" max="13565" width="14.140625" style="15" bestFit="1" customWidth="1"/>
    <col min="13566" max="13566" width="16.5703125" style="15" customWidth="1"/>
    <col min="13567" max="13568" width="9.140625" style="15"/>
    <col min="13569" max="13569" width="8.7109375" style="15" customWidth="1"/>
    <col min="13570" max="13815" width="9.140625" style="15"/>
    <col min="13816" max="13816" width="15.28515625" style="15" customWidth="1"/>
    <col min="13817" max="13817" width="10.140625" style="15" customWidth="1"/>
    <col min="13818" max="13818" width="7.28515625" style="15" customWidth="1"/>
    <col min="13819" max="13819" width="68.7109375" style="15" customWidth="1"/>
    <col min="13820" max="13820" width="15" style="15" customWidth="1"/>
    <col min="13821" max="13821" width="14.140625" style="15" bestFit="1" customWidth="1"/>
    <col min="13822" max="13822" width="16.5703125" style="15" customWidth="1"/>
    <col min="13823" max="13824" width="9.140625" style="15"/>
    <col min="13825" max="13825" width="8.7109375" style="15" customWidth="1"/>
    <col min="13826" max="14071" width="9.140625" style="15"/>
    <col min="14072" max="14072" width="15.28515625" style="15" customWidth="1"/>
    <col min="14073" max="14073" width="10.140625" style="15" customWidth="1"/>
    <col min="14074" max="14074" width="7.28515625" style="15" customWidth="1"/>
    <col min="14075" max="14075" width="68.7109375" style="15" customWidth="1"/>
    <col min="14076" max="14076" width="15" style="15" customWidth="1"/>
    <col min="14077" max="14077" width="14.140625" style="15" bestFit="1" customWidth="1"/>
    <col min="14078" max="14078" width="16.5703125" style="15" customWidth="1"/>
    <col min="14079" max="14080" width="9.140625" style="15"/>
    <col min="14081" max="14081" width="8.7109375" style="15" customWidth="1"/>
    <col min="14082" max="14327" width="9.140625" style="15"/>
    <col min="14328" max="14328" width="15.28515625" style="15" customWidth="1"/>
    <col min="14329" max="14329" width="10.140625" style="15" customWidth="1"/>
    <col min="14330" max="14330" width="7.28515625" style="15" customWidth="1"/>
    <col min="14331" max="14331" width="68.7109375" style="15" customWidth="1"/>
    <col min="14332" max="14332" width="15" style="15" customWidth="1"/>
    <col min="14333" max="14333" width="14.140625" style="15" bestFit="1" customWidth="1"/>
    <col min="14334" max="14334" width="16.5703125" style="15" customWidth="1"/>
    <col min="14335" max="14336" width="9.140625" style="15"/>
    <col min="14337" max="14337" width="8.7109375" style="15" customWidth="1"/>
    <col min="14338" max="14583" width="9.140625" style="15"/>
    <col min="14584" max="14584" width="15.28515625" style="15" customWidth="1"/>
    <col min="14585" max="14585" width="10.140625" style="15" customWidth="1"/>
    <col min="14586" max="14586" width="7.28515625" style="15" customWidth="1"/>
    <col min="14587" max="14587" width="68.7109375" style="15" customWidth="1"/>
    <col min="14588" max="14588" width="15" style="15" customWidth="1"/>
    <col min="14589" max="14589" width="14.140625" style="15" bestFit="1" customWidth="1"/>
    <col min="14590" max="14590" width="16.5703125" style="15" customWidth="1"/>
    <col min="14591" max="14592" width="9.140625" style="15"/>
    <col min="14593" max="14593" width="8.7109375" style="15" customWidth="1"/>
    <col min="14594" max="14839" width="9.140625" style="15"/>
    <col min="14840" max="14840" width="15.28515625" style="15" customWidth="1"/>
    <col min="14841" max="14841" width="10.140625" style="15" customWidth="1"/>
    <col min="14842" max="14842" width="7.28515625" style="15" customWidth="1"/>
    <col min="14843" max="14843" width="68.7109375" style="15" customWidth="1"/>
    <col min="14844" max="14844" width="15" style="15" customWidth="1"/>
    <col min="14845" max="14845" width="14.140625" style="15" bestFit="1" customWidth="1"/>
    <col min="14846" max="14846" width="16.5703125" style="15" customWidth="1"/>
    <col min="14847" max="14848" width="9.140625" style="15"/>
    <col min="14849" max="14849" width="8.7109375" style="15" customWidth="1"/>
    <col min="14850" max="15095" width="9.140625" style="15"/>
    <col min="15096" max="15096" width="15.28515625" style="15" customWidth="1"/>
    <col min="15097" max="15097" width="10.140625" style="15" customWidth="1"/>
    <col min="15098" max="15098" width="7.28515625" style="15" customWidth="1"/>
    <col min="15099" max="15099" width="68.7109375" style="15" customWidth="1"/>
    <col min="15100" max="15100" width="15" style="15" customWidth="1"/>
    <col min="15101" max="15101" width="14.140625" style="15" bestFit="1" customWidth="1"/>
    <col min="15102" max="15102" width="16.5703125" style="15" customWidth="1"/>
    <col min="15103" max="15104" width="9.140625" style="15"/>
    <col min="15105" max="15105" width="8.7109375" style="15" customWidth="1"/>
    <col min="15106" max="15351" width="9.140625" style="15"/>
    <col min="15352" max="15352" width="15.28515625" style="15" customWidth="1"/>
    <col min="15353" max="15353" width="10.140625" style="15" customWidth="1"/>
    <col min="15354" max="15354" width="7.28515625" style="15" customWidth="1"/>
    <col min="15355" max="15355" width="68.7109375" style="15" customWidth="1"/>
    <col min="15356" max="15356" width="15" style="15" customWidth="1"/>
    <col min="15357" max="15357" width="14.140625" style="15" bestFit="1" customWidth="1"/>
    <col min="15358" max="15358" width="16.5703125" style="15" customWidth="1"/>
    <col min="15359" max="15360" width="9.140625" style="15"/>
    <col min="15361" max="15361" width="8.7109375" style="15" customWidth="1"/>
    <col min="15362" max="15607" width="9.140625" style="15"/>
    <col min="15608" max="15608" width="15.28515625" style="15" customWidth="1"/>
    <col min="15609" max="15609" width="10.140625" style="15" customWidth="1"/>
    <col min="15610" max="15610" width="7.28515625" style="15" customWidth="1"/>
    <col min="15611" max="15611" width="68.7109375" style="15" customWidth="1"/>
    <col min="15612" max="15612" width="15" style="15" customWidth="1"/>
    <col min="15613" max="15613" width="14.140625" style="15" bestFit="1" customWidth="1"/>
    <col min="15614" max="15614" width="16.5703125" style="15" customWidth="1"/>
    <col min="15615" max="15616" width="9.140625" style="15"/>
    <col min="15617" max="15617" width="8.7109375" style="15" customWidth="1"/>
    <col min="15618" max="15863" width="9.140625" style="15"/>
    <col min="15864" max="15864" width="15.28515625" style="15" customWidth="1"/>
    <col min="15865" max="15865" width="10.140625" style="15" customWidth="1"/>
    <col min="15866" max="15866" width="7.28515625" style="15" customWidth="1"/>
    <col min="15867" max="15867" width="68.7109375" style="15" customWidth="1"/>
    <col min="15868" max="15868" width="15" style="15" customWidth="1"/>
    <col min="15869" max="15869" width="14.140625" style="15" bestFit="1" customWidth="1"/>
    <col min="15870" max="15870" width="16.5703125" style="15" customWidth="1"/>
    <col min="15871" max="15872" width="9.140625" style="15"/>
    <col min="15873" max="15873" width="8.7109375" style="15" customWidth="1"/>
    <col min="15874" max="16119" width="9.140625" style="15"/>
    <col min="16120" max="16120" width="15.28515625" style="15" customWidth="1"/>
    <col min="16121" max="16121" width="10.140625" style="15" customWidth="1"/>
    <col min="16122" max="16122" width="7.28515625" style="15" customWidth="1"/>
    <col min="16123" max="16123" width="68.7109375" style="15" customWidth="1"/>
    <col min="16124" max="16124" width="15" style="15" customWidth="1"/>
    <col min="16125" max="16125" width="14.140625" style="15" bestFit="1" customWidth="1"/>
    <col min="16126" max="16126" width="16.5703125" style="15" customWidth="1"/>
    <col min="16127" max="16128" width="9.140625" style="15"/>
    <col min="16129" max="16129" width="8.7109375" style="15" customWidth="1"/>
    <col min="16130" max="16384" width="9.140625" style="15"/>
  </cols>
  <sheetData>
    <row r="1" spans="1:13" ht="20.25">
      <c r="A1" s="800" t="s">
        <v>74</v>
      </c>
      <c r="B1" s="801"/>
      <c r="C1" s="801"/>
      <c r="D1" s="801"/>
      <c r="E1" s="801"/>
      <c r="F1" s="801"/>
      <c r="G1" s="801"/>
      <c r="H1" s="802"/>
    </row>
    <row r="2" spans="1:13" s="2" customFormat="1" ht="21" thickBot="1">
      <c r="A2" s="803" t="s">
        <v>1442</v>
      </c>
      <c r="B2" s="804"/>
      <c r="C2" s="804"/>
      <c r="D2" s="804"/>
      <c r="E2" s="804"/>
      <c r="F2" s="804"/>
      <c r="G2" s="804"/>
      <c r="H2" s="805"/>
      <c r="J2" s="806" t="s">
        <v>75</v>
      </c>
      <c r="K2" s="807"/>
      <c r="L2" s="808"/>
      <c r="M2" s="34"/>
    </row>
    <row r="3" spans="1:13" s="30" customFormat="1" ht="47.25">
      <c r="A3" s="107" t="s">
        <v>1041</v>
      </c>
      <c r="B3" s="108" t="s">
        <v>76</v>
      </c>
      <c r="C3" s="109" t="s">
        <v>77</v>
      </c>
      <c r="D3" s="107" t="s">
        <v>78</v>
      </c>
      <c r="E3" s="107" t="s">
        <v>79</v>
      </c>
      <c r="F3" s="110" t="s">
        <v>1787</v>
      </c>
      <c r="G3" s="110" t="s">
        <v>81</v>
      </c>
      <c r="H3" s="110" t="s">
        <v>82</v>
      </c>
      <c r="I3" s="33"/>
      <c r="J3" s="33"/>
      <c r="K3" s="33"/>
      <c r="L3" s="33"/>
      <c r="M3" s="33"/>
    </row>
    <row r="4" spans="1:13" s="28" customFormat="1">
      <c r="A4" s="61" t="s">
        <v>1441</v>
      </c>
      <c r="B4" s="103" t="s">
        <v>84</v>
      </c>
      <c r="C4" s="104" t="s">
        <v>85</v>
      </c>
      <c r="D4" s="31">
        <v>1</v>
      </c>
      <c r="E4" s="31" t="s">
        <v>3</v>
      </c>
      <c r="F4" s="105">
        <v>170.5</v>
      </c>
      <c r="G4" s="106">
        <f>ROUND(D4*F4,2)</f>
        <v>170.5</v>
      </c>
      <c r="H4" s="105" t="s">
        <v>86</v>
      </c>
      <c r="I4" s="35"/>
      <c r="J4" s="35"/>
      <c r="K4" s="35"/>
      <c r="L4" s="35"/>
      <c r="M4" s="35"/>
    </row>
    <row r="5" spans="1:13" s="28" customFormat="1" ht="31.5">
      <c r="A5" s="61" t="s">
        <v>1476</v>
      </c>
      <c r="B5" s="21" t="s">
        <v>88</v>
      </c>
      <c r="C5" s="25" t="s">
        <v>89</v>
      </c>
      <c r="D5" s="1">
        <v>1</v>
      </c>
      <c r="E5" s="1" t="s">
        <v>3</v>
      </c>
      <c r="F5" s="27">
        <v>317.60000000000002</v>
      </c>
      <c r="G5" s="106">
        <f t="shared" ref="G5:G68" si="0">ROUND(D5*F5,2)</f>
        <v>317.60000000000002</v>
      </c>
      <c r="H5" s="27" t="s">
        <v>86</v>
      </c>
      <c r="I5" s="35"/>
      <c r="J5" s="35"/>
      <c r="K5" s="35"/>
      <c r="L5" s="35"/>
      <c r="M5" s="35"/>
    </row>
    <row r="6" spans="1:13" s="28" customFormat="1">
      <c r="A6" s="61" t="s">
        <v>1477</v>
      </c>
      <c r="B6" s="21" t="s">
        <v>91</v>
      </c>
      <c r="C6" s="25" t="s">
        <v>92</v>
      </c>
      <c r="D6" s="1">
        <v>1</v>
      </c>
      <c r="E6" s="1" t="s">
        <v>3</v>
      </c>
      <c r="F6" s="27">
        <v>534.5</v>
      </c>
      <c r="G6" s="106">
        <f t="shared" si="0"/>
        <v>534.5</v>
      </c>
      <c r="H6" s="27" t="s">
        <v>86</v>
      </c>
      <c r="I6" s="35"/>
      <c r="J6" s="35"/>
      <c r="K6" s="35"/>
      <c r="L6" s="35"/>
      <c r="M6" s="35"/>
    </row>
    <row r="7" spans="1:13" s="28" customFormat="1" ht="31.5">
      <c r="A7" s="61" t="s">
        <v>1478</v>
      </c>
      <c r="B7" s="21" t="s">
        <v>93</v>
      </c>
      <c r="C7" s="25" t="s">
        <v>94</v>
      </c>
      <c r="D7" s="1">
        <v>4</v>
      </c>
      <c r="E7" s="1" t="s">
        <v>3</v>
      </c>
      <c r="F7" s="27">
        <v>156.78</v>
      </c>
      <c r="G7" s="106">
        <f t="shared" si="0"/>
        <v>627.12</v>
      </c>
      <c r="H7" s="27" t="s">
        <v>86</v>
      </c>
      <c r="I7" s="35"/>
      <c r="J7" s="35"/>
      <c r="K7" s="35"/>
      <c r="L7" s="35"/>
      <c r="M7" s="35"/>
    </row>
    <row r="8" spans="1:13" s="28" customFormat="1">
      <c r="A8" s="61" t="s">
        <v>1479</v>
      </c>
      <c r="B8" s="21" t="s">
        <v>95</v>
      </c>
      <c r="C8" s="25" t="s">
        <v>96</v>
      </c>
      <c r="D8" s="1">
        <v>6</v>
      </c>
      <c r="E8" s="1" t="s">
        <v>3</v>
      </c>
      <c r="F8" s="27">
        <v>44.1</v>
      </c>
      <c r="G8" s="106">
        <f t="shared" si="0"/>
        <v>264.60000000000002</v>
      </c>
      <c r="H8" s="27" t="s">
        <v>86</v>
      </c>
      <c r="I8" s="35"/>
      <c r="J8" s="35"/>
      <c r="K8" s="35"/>
      <c r="L8" s="35"/>
      <c r="M8" s="35"/>
    </row>
    <row r="9" spans="1:13" s="28" customFormat="1" ht="31.5">
      <c r="A9" s="61" t="s">
        <v>1480</v>
      </c>
      <c r="B9" s="21" t="s">
        <v>97</v>
      </c>
      <c r="C9" s="25" t="s">
        <v>98</v>
      </c>
      <c r="D9" s="1">
        <v>1</v>
      </c>
      <c r="E9" s="1" t="s">
        <v>3</v>
      </c>
      <c r="F9" s="27">
        <v>235.59</v>
      </c>
      <c r="G9" s="106">
        <f t="shared" si="0"/>
        <v>235.59</v>
      </c>
      <c r="H9" s="27" t="s">
        <v>86</v>
      </c>
      <c r="I9" s="35"/>
      <c r="J9" s="149"/>
      <c r="K9" s="149"/>
      <c r="L9" s="149"/>
      <c r="M9" s="35"/>
    </row>
    <row r="10" spans="1:13" s="28" customFormat="1">
      <c r="A10" s="61" t="s">
        <v>1481</v>
      </c>
      <c r="B10" s="21" t="s">
        <v>99</v>
      </c>
      <c r="C10" s="25" t="s">
        <v>100</v>
      </c>
      <c r="D10" s="1">
        <v>5</v>
      </c>
      <c r="E10" s="1" t="s">
        <v>3</v>
      </c>
      <c r="F10" s="27">
        <v>62.71</v>
      </c>
      <c r="G10" s="106">
        <f t="shared" si="0"/>
        <v>313.55</v>
      </c>
      <c r="H10" s="27" t="s">
        <v>86</v>
      </c>
      <c r="I10" s="35"/>
      <c r="J10" s="149"/>
      <c r="K10" s="149"/>
      <c r="L10" s="149"/>
      <c r="M10" s="35"/>
    </row>
    <row r="11" spans="1:13" s="28" customFormat="1">
      <c r="A11" s="61" t="s">
        <v>1482</v>
      </c>
      <c r="B11" s="21" t="s">
        <v>101</v>
      </c>
      <c r="C11" s="25" t="s">
        <v>102</v>
      </c>
      <c r="D11" s="1">
        <v>2</v>
      </c>
      <c r="E11" s="1" t="s">
        <v>3</v>
      </c>
      <c r="F11" s="27">
        <v>198.61</v>
      </c>
      <c r="G11" s="106">
        <f t="shared" si="0"/>
        <v>397.22</v>
      </c>
      <c r="H11" s="27" t="s">
        <v>86</v>
      </c>
      <c r="I11" s="35"/>
      <c r="J11" s="149"/>
      <c r="K11" s="149"/>
      <c r="L11" s="149"/>
      <c r="M11" s="35"/>
    </row>
    <row r="12" spans="1:13" s="28" customFormat="1" ht="31.5">
      <c r="A12" s="61" t="s">
        <v>1483</v>
      </c>
      <c r="B12" s="21" t="s">
        <v>103</v>
      </c>
      <c r="C12" s="25" t="s">
        <v>104</v>
      </c>
      <c r="D12" s="1">
        <v>2</v>
      </c>
      <c r="E12" s="1" t="s">
        <v>3</v>
      </c>
      <c r="F12" s="27">
        <v>132.62</v>
      </c>
      <c r="G12" s="106">
        <f t="shared" si="0"/>
        <v>265.24</v>
      </c>
      <c r="H12" s="27" t="s">
        <v>86</v>
      </c>
      <c r="I12" s="35"/>
      <c r="J12" s="149"/>
      <c r="K12" s="149"/>
      <c r="L12" s="149"/>
      <c r="M12" s="35"/>
    </row>
    <row r="13" spans="1:13" s="28" customFormat="1">
      <c r="A13" s="61" t="s">
        <v>1484</v>
      </c>
      <c r="B13" s="59">
        <v>6136</v>
      </c>
      <c r="C13" s="25" t="s">
        <v>105</v>
      </c>
      <c r="D13" s="1">
        <v>3</v>
      </c>
      <c r="E13" s="1" t="s">
        <v>3</v>
      </c>
      <c r="F13" s="27">
        <v>142.9</v>
      </c>
      <c r="G13" s="106">
        <f t="shared" si="0"/>
        <v>428.7</v>
      </c>
      <c r="H13" s="27" t="s">
        <v>86</v>
      </c>
      <c r="I13" s="35"/>
      <c r="J13" s="149"/>
      <c r="K13" s="149"/>
      <c r="L13" s="149"/>
      <c r="M13" s="35"/>
    </row>
    <row r="14" spans="1:13" s="28" customFormat="1">
      <c r="A14" s="61" t="s">
        <v>1485</v>
      </c>
      <c r="B14" s="59">
        <v>38638</v>
      </c>
      <c r="C14" s="25" t="s">
        <v>106</v>
      </c>
      <c r="D14" s="1">
        <v>2</v>
      </c>
      <c r="E14" s="1" t="s">
        <v>3</v>
      </c>
      <c r="F14" s="27">
        <v>151.34</v>
      </c>
      <c r="G14" s="106">
        <f t="shared" si="0"/>
        <v>302.68</v>
      </c>
      <c r="H14" s="27" t="s">
        <v>86</v>
      </c>
      <c r="I14" s="35"/>
      <c r="J14" s="149"/>
      <c r="K14" s="149"/>
      <c r="L14" s="149"/>
      <c r="M14" s="35"/>
    </row>
    <row r="15" spans="1:13" s="28" customFormat="1" ht="31.5">
      <c r="A15" s="61" t="s">
        <v>1486</v>
      </c>
      <c r="B15" s="59">
        <v>11560</v>
      </c>
      <c r="C15" s="25" t="s">
        <v>107</v>
      </c>
      <c r="D15" s="1">
        <v>4</v>
      </c>
      <c r="E15" s="1" t="s">
        <v>3</v>
      </c>
      <c r="F15" s="27">
        <v>178.75</v>
      </c>
      <c r="G15" s="106">
        <f t="shared" si="0"/>
        <v>715</v>
      </c>
      <c r="H15" s="27" t="s">
        <v>86</v>
      </c>
      <c r="I15" s="35"/>
      <c r="J15" s="149"/>
      <c r="K15" s="149"/>
      <c r="L15" s="149"/>
      <c r="M15" s="35"/>
    </row>
    <row r="16" spans="1:13" s="28" customFormat="1" ht="31.5">
      <c r="A16" s="61" t="s">
        <v>1487</v>
      </c>
      <c r="B16" s="59" t="s">
        <v>1397</v>
      </c>
      <c r="C16" s="46" t="s">
        <v>1311</v>
      </c>
      <c r="D16" s="45">
        <v>20</v>
      </c>
      <c r="E16" s="45" t="s">
        <v>16</v>
      </c>
      <c r="F16" s="27">
        <v>248.4</v>
      </c>
      <c r="G16" s="106">
        <f t="shared" si="0"/>
        <v>4968</v>
      </c>
      <c r="H16" s="27" t="s">
        <v>86</v>
      </c>
      <c r="I16" s="35"/>
      <c r="J16" s="139"/>
      <c r="K16" s="149"/>
      <c r="L16" s="149"/>
      <c r="M16" s="35"/>
    </row>
    <row r="17" spans="1:16" s="28" customFormat="1">
      <c r="A17" s="61" t="s">
        <v>1488</v>
      </c>
      <c r="B17" s="59" t="s">
        <v>108</v>
      </c>
      <c r="C17" s="46" t="s">
        <v>109</v>
      </c>
      <c r="D17" s="45">
        <v>4</v>
      </c>
      <c r="E17" s="45" t="s">
        <v>3</v>
      </c>
      <c r="F17" s="27">
        <f>ROUND(AVERAGE(J17:L17),2)</f>
        <v>1001.98</v>
      </c>
      <c r="G17" s="106">
        <f t="shared" si="0"/>
        <v>4007.92</v>
      </c>
      <c r="H17" s="27" t="s">
        <v>86</v>
      </c>
      <c r="I17" s="35"/>
      <c r="J17" s="149">
        <v>950</v>
      </c>
      <c r="K17" s="149">
        <f>1297.75+22.88</f>
        <v>1320.63</v>
      </c>
      <c r="L17" s="149">
        <f>717.57+17.74</f>
        <v>735.31000000000006</v>
      </c>
      <c r="M17" s="149"/>
    </row>
    <row r="18" spans="1:16" s="28" customFormat="1">
      <c r="A18" s="61" t="s">
        <v>1489</v>
      </c>
      <c r="B18" s="59" t="s">
        <v>108</v>
      </c>
      <c r="C18" s="46" t="s">
        <v>1038</v>
      </c>
      <c r="D18" s="45">
        <v>4</v>
      </c>
      <c r="E18" s="45" t="s">
        <v>3</v>
      </c>
      <c r="F18" s="27">
        <f>ROUND(AVERAGE(J18:L18),2)</f>
        <v>332.98</v>
      </c>
      <c r="G18" s="106">
        <f t="shared" si="0"/>
        <v>1331.92</v>
      </c>
      <c r="H18" s="27" t="s">
        <v>86</v>
      </c>
      <c r="I18" s="35"/>
      <c r="J18" s="149">
        <v>298.01</v>
      </c>
      <c r="K18" s="149">
        <f>361.29+25.32</f>
        <v>386.61</v>
      </c>
      <c r="L18" s="149">
        <f>300.68+13.63</f>
        <v>314.31</v>
      </c>
      <c r="M18" s="149"/>
    </row>
    <row r="19" spans="1:16" ht="31.5">
      <c r="A19" s="61" t="s">
        <v>1490</v>
      </c>
      <c r="B19" s="59" t="s">
        <v>1397</v>
      </c>
      <c r="C19" s="25" t="s">
        <v>146</v>
      </c>
      <c r="D19" s="45">
        <v>4</v>
      </c>
      <c r="E19" s="45" t="s">
        <v>3</v>
      </c>
      <c r="F19" s="27">
        <v>165.65</v>
      </c>
      <c r="G19" s="106">
        <f t="shared" si="0"/>
        <v>662.6</v>
      </c>
      <c r="H19" s="27" t="s">
        <v>86</v>
      </c>
      <c r="I19" s="34"/>
      <c r="J19" s="306"/>
      <c r="K19" s="306"/>
      <c r="L19" s="306"/>
      <c r="M19" s="9"/>
      <c r="N19" s="9"/>
      <c r="O19" s="9"/>
      <c r="P19" s="9"/>
    </row>
    <row r="20" spans="1:16" s="28" customFormat="1">
      <c r="A20" s="61" t="s">
        <v>1491</v>
      </c>
      <c r="B20" s="59" t="s">
        <v>108</v>
      </c>
      <c r="C20" s="46" t="s">
        <v>110</v>
      </c>
      <c r="D20" s="45">
        <v>4</v>
      </c>
      <c r="E20" s="45" t="s">
        <v>3</v>
      </c>
      <c r="F20" s="27">
        <f>ROUND(AVERAGE(J20:L20),2)</f>
        <v>1632.72</v>
      </c>
      <c r="G20" s="106">
        <f t="shared" si="0"/>
        <v>6530.88</v>
      </c>
      <c r="H20" s="27" t="s">
        <v>86</v>
      </c>
      <c r="I20" s="35"/>
      <c r="J20" s="149">
        <v>1374.35</v>
      </c>
      <c r="K20" s="149">
        <f>2092.9+12.44</f>
        <v>2105.34</v>
      </c>
      <c r="L20" s="149">
        <f>1394.56+23.92</f>
        <v>1418.48</v>
      </c>
      <c r="M20" s="149"/>
    </row>
    <row r="21" spans="1:16" s="28" customFormat="1">
      <c r="A21" s="61" t="s">
        <v>1492</v>
      </c>
      <c r="B21" s="59">
        <v>39961</v>
      </c>
      <c r="C21" s="46" t="s">
        <v>111</v>
      </c>
      <c r="D21" s="45">
        <v>5</v>
      </c>
      <c r="E21" s="45" t="s">
        <v>3</v>
      </c>
      <c r="F21" s="27">
        <v>26.59</v>
      </c>
      <c r="G21" s="106">
        <f t="shared" si="0"/>
        <v>132.94999999999999</v>
      </c>
      <c r="H21" s="27" t="s">
        <v>86</v>
      </c>
      <c r="I21" s="35"/>
      <c r="J21" s="149"/>
      <c r="K21" s="149"/>
      <c r="L21" s="149"/>
      <c r="M21" s="149"/>
    </row>
    <row r="22" spans="1:16" s="28" customFormat="1">
      <c r="A22" s="61" t="s">
        <v>1493</v>
      </c>
      <c r="B22" s="426" t="s">
        <v>1314</v>
      </c>
      <c r="C22" s="46" t="s">
        <v>1313</v>
      </c>
      <c r="D22" s="45">
        <v>10</v>
      </c>
      <c r="E22" s="45" t="s">
        <v>1312</v>
      </c>
      <c r="F22" s="27">
        <v>40.24</v>
      </c>
      <c r="G22" s="106">
        <f t="shared" si="0"/>
        <v>402.4</v>
      </c>
      <c r="H22" s="27"/>
      <c r="I22" s="35"/>
      <c r="J22" s="149"/>
      <c r="K22" s="149"/>
      <c r="L22" s="149"/>
      <c r="M22" s="149"/>
    </row>
    <row r="23" spans="1:16" s="28" customFormat="1">
      <c r="A23" s="61" t="s">
        <v>1494</v>
      </c>
      <c r="B23" s="59" t="s">
        <v>112</v>
      </c>
      <c r="C23" s="46" t="s">
        <v>113</v>
      </c>
      <c r="D23" s="45">
        <v>2</v>
      </c>
      <c r="E23" s="45" t="s">
        <v>14</v>
      </c>
      <c r="F23" s="27">
        <v>120.75</v>
      </c>
      <c r="G23" s="106">
        <f t="shared" si="0"/>
        <v>241.5</v>
      </c>
      <c r="H23" s="27" t="s">
        <v>86</v>
      </c>
      <c r="I23" s="35"/>
      <c r="J23" s="149"/>
      <c r="K23" s="149"/>
      <c r="L23" s="149"/>
      <c r="M23" s="149"/>
      <c r="N23" s="164"/>
    </row>
    <row r="24" spans="1:16" s="28" customFormat="1" ht="31.5">
      <c r="A24" s="61" t="s">
        <v>1495</v>
      </c>
      <c r="B24" s="59" t="s">
        <v>108</v>
      </c>
      <c r="C24" s="46" t="s">
        <v>114</v>
      </c>
      <c r="D24" s="45">
        <v>3</v>
      </c>
      <c r="E24" s="45" t="s">
        <v>3</v>
      </c>
      <c r="F24" s="27">
        <f>ROUND(AVERAGE(J24:L24),2)</f>
        <v>209.65</v>
      </c>
      <c r="G24" s="106">
        <f t="shared" si="0"/>
        <v>628.95000000000005</v>
      </c>
      <c r="H24" s="27" t="s">
        <v>86</v>
      </c>
      <c r="I24" s="35"/>
      <c r="J24" s="149">
        <f>165.47+24.33</f>
        <v>189.8</v>
      </c>
      <c r="K24" s="149">
        <v>229.49</v>
      </c>
      <c r="L24" s="149"/>
      <c r="M24" s="149"/>
    </row>
    <row r="25" spans="1:16" s="28" customFormat="1">
      <c r="A25" s="61" t="s">
        <v>1496</v>
      </c>
      <c r="B25" s="59">
        <v>43611</v>
      </c>
      <c r="C25" s="62" t="s">
        <v>115</v>
      </c>
      <c r="D25" s="45">
        <v>8</v>
      </c>
      <c r="E25" s="45" t="s">
        <v>3</v>
      </c>
      <c r="F25" s="27">
        <v>118.03</v>
      </c>
      <c r="G25" s="106">
        <f t="shared" si="0"/>
        <v>944.24</v>
      </c>
      <c r="H25" s="27" t="s">
        <v>86</v>
      </c>
      <c r="I25" s="35"/>
      <c r="J25" s="149"/>
      <c r="K25" s="149"/>
      <c r="L25" s="149"/>
      <c r="M25" s="35"/>
    </row>
    <row r="26" spans="1:16" s="16" customFormat="1" ht="27.75" customHeight="1">
      <c r="A26" s="61" t="s">
        <v>1497</v>
      </c>
      <c r="B26" s="59" t="s">
        <v>1397</v>
      </c>
      <c r="C26" s="111" t="s">
        <v>116</v>
      </c>
      <c r="D26" s="23">
        <v>10</v>
      </c>
      <c r="E26" s="1" t="s">
        <v>3</v>
      </c>
      <c r="F26" s="22">
        <v>47.3</v>
      </c>
      <c r="G26" s="106">
        <f t="shared" si="0"/>
        <v>473</v>
      </c>
      <c r="H26" s="27" t="s">
        <v>86</v>
      </c>
      <c r="I26" s="33"/>
      <c r="J26" s="139"/>
      <c r="K26" s="150"/>
      <c r="L26" s="150"/>
      <c r="M26" s="33"/>
    </row>
    <row r="27" spans="1:16" s="16" customFormat="1">
      <c r="A27" s="61" t="s">
        <v>1498</v>
      </c>
      <c r="B27" s="59">
        <v>11684</v>
      </c>
      <c r="C27" s="111" t="s">
        <v>117</v>
      </c>
      <c r="D27" s="23">
        <v>2</v>
      </c>
      <c r="E27" s="1" t="s">
        <v>3</v>
      </c>
      <c r="F27" s="22">
        <v>35.869999999999997</v>
      </c>
      <c r="G27" s="106">
        <f t="shared" si="0"/>
        <v>71.739999999999995</v>
      </c>
      <c r="H27" s="27" t="s">
        <v>118</v>
      </c>
      <c r="I27" s="33"/>
      <c r="J27" s="150"/>
      <c r="K27" s="150"/>
      <c r="L27" s="150"/>
      <c r="M27" s="33"/>
    </row>
    <row r="28" spans="1:16" ht="63">
      <c r="A28" s="61" t="s">
        <v>1499</v>
      </c>
      <c r="B28" s="142" t="s">
        <v>119</v>
      </c>
      <c r="C28" s="46" t="s">
        <v>120</v>
      </c>
      <c r="D28" s="1">
        <v>1</v>
      </c>
      <c r="E28" s="1" t="s">
        <v>3</v>
      </c>
      <c r="F28" s="27">
        <f t="shared" ref="F28:F33" si="1">ROUND(AVERAGE(J28:L28),2)</f>
        <v>3863.21</v>
      </c>
      <c r="G28" s="106">
        <f t="shared" si="0"/>
        <v>3863.21</v>
      </c>
      <c r="H28" s="27" t="s">
        <v>118</v>
      </c>
      <c r="I28" s="34"/>
      <c r="J28" s="130">
        <v>3863.21</v>
      </c>
      <c r="K28" s="130"/>
      <c r="L28" s="130"/>
    </row>
    <row r="29" spans="1:16" ht="47.25">
      <c r="A29" s="61" t="s">
        <v>1500</v>
      </c>
      <c r="B29" s="142" t="s">
        <v>119</v>
      </c>
      <c r="C29" s="46" t="s">
        <v>121</v>
      </c>
      <c r="D29" s="1">
        <v>1</v>
      </c>
      <c r="E29" s="1" t="s">
        <v>3</v>
      </c>
      <c r="F29" s="27">
        <f t="shared" si="1"/>
        <v>871.61</v>
      </c>
      <c r="G29" s="106">
        <f t="shared" si="0"/>
        <v>871.61</v>
      </c>
      <c r="H29" s="27" t="s">
        <v>118</v>
      </c>
      <c r="I29" s="34"/>
      <c r="J29" s="130">
        <v>871.61</v>
      </c>
      <c r="K29" s="130"/>
      <c r="L29" s="130"/>
    </row>
    <row r="30" spans="1:16" ht="31.5">
      <c r="A30" s="61" t="s">
        <v>1501</v>
      </c>
      <c r="B30" s="142" t="s">
        <v>119</v>
      </c>
      <c r="C30" s="46" t="s">
        <v>122</v>
      </c>
      <c r="D30" s="1">
        <v>1</v>
      </c>
      <c r="E30" s="1" t="s">
        <v>3</v>
      </c>
      <c r="F30" s="27">
        <f t="shared" si="1"/>
        <v>1359.9</v>
      </c>
      <c r="G30" s="106">
        <f t="shared" si="0"/>
        <v>1359.9</v>
      </c>
      <c r="H30" s="27" t="s">
        <v>118</v>
      </c>
      <c r="I30" s="34"/>
      <c r="J30" s="130">
        <v>1359.9</v>
      </c>
      <c r="K30" s="130"/>
      <c r="L30" s="130"/>
    </row>
    <row r="31" spans="1:16" ht="31.5">
      <c r="A31" s="61" t="s">
        <v>1502</v>
      </c>
      <c r="B31" s="142" t="s">
        <v>119</v>
      </c>
      <c r="C31" s="46" t="s">
        <v>123</v>
      </c>
      <c r="D31" s="1">
        <v>1</v>
      </c>
      <c r="E31" s="1" t="s">
        <v>3</v>
      </c>
      <c r="F31" s="27">
        <f t="shared" si="1"/>
        <v>1179.9000000000001</v>
      </c>
      <c r="G31" s="106">
        <f t="shared" si="0"/>
        <v>1179.9000000000001</v>
      </c>
      <c r="H31" s="27" t="s">
        <v>118</v>
      </c>
      <c r="I31" s="34"/>
      <c r="J31" s="130">
        <v>1179.9000000000001</v>
      </c>
      <c r="K31" s="130"/>
      <c r="L31" s="130"/>
    </row>
    <row r="32" spans="1:16" ht="31.5">
      <c r="A32" s="61" t="s">
        <v>1503</v>
      </c>
      <c r="B32" s="142" t="s">
        <v>119</v>
      </c>
      <c r="C32" s="46" t="s">
        <v>124</v>
      </c>
      <c r="D32" s="1">
        <v>1</v>
      </c>
      <c r="E32" s="1" t="s">
        <v>3</v>
      </c>
      <c r="F32" s="27">
        <f t="shared" si="1"/>
        <v>3129.9</v>
      </c>
      <c r="G32" s="106">
        <f t="shared" si="0"/>
        <v>3129.9</v>
      </c>
      <c r="H32" s="27" t="s">
        <v>118</v>
      </c>
      <c r="I32" s="34"/>
      <c r="J32" s="130">
        <v>3129.9</v>
      </c>
      <c r="K32" s="130"/>
      <c r="L32" s="130"/>
    </row>
    <row r="33" spans="1:16" ht="47.25">
      <c r="A33" s="61" t="s">
        <v>1504</v>
      </c>
      <c r="B33" s="142" t="s">
        <v>119</v>
      </c>
      <c r="C33" s="46" t="s">
        <v>125</v>
      </c>
      <c r="D33" s="1">
        <v>1</v>
      </c>
      <c r="E33" s="1" t="s">
        <v>3</v>
      </c>
      <c r="F33" s="27">
        <f t="shared" si="1"/>
        <v>3129.9</v>
      </c>
      <c r="G33" s="106">
        <f t="shared" si="0"/>
        <v>3129.9</v>
      </c>
      <c r="H33" s="27" t="s">
        <v>118</v>
      </c>
      <c r="I33" s="34"/>
      <c r="J33" s="130">
        <v>3129.9</v>
      </c>
      <c r="K33" s="130"/>
      <c r="L33" s="130"/>
    </row>
    <row r="34" spans="1:16" ht="31.5">
      <c r="A34" s="61" t="s">
        <v>1505</v>
      </c>
      <c r="B34" s="59" t="s">
        <v>1397</v>
      </c>
      <c r="C34" s="25" t="s">
        <v>126</v>
      </c>
      <c r="D34" s="1">
        <v>5</v>
      </c>
      <c r="E34" s="1" t="s">
        <v>3</v>
      </c>
      <c r="F34" s="27">
        <v>32.35</v>
      </c>
      <c r="G34" s="106">
        <f t="shared" si="0"/>
        <v>161.75</v>
      </c>
      <c r="H34" s="27" t="s">
        <v>118</v>
      </c>
      <c r="I34" s="34"/>
      <c r="J34" s="102"/>
      <c r="K34" s="102"/>
      <c r="L34" s="102"/>
    </row>
    <row r="35" spans="1:16" ht="31.5">
      <c r="A35" s="61" t="s">
        <v>1506</v>
      </c>
      <c r="B35" s="59" t="s">
        <v>1397</v>
      </c>
      <c r="C35" s="144" t="s">
        <v>127</v>
      </c>
      <c r="D35" s="23">
        <v>10</v>
      </c>
      <c r="E35" s="1" t="s">
        <v>3</v>
      </c>
      <c r="F35" s="27">
        <f>ROUND(AVERAGE(K35:L35),2)</f>
        <v>157.78</v>
      </c>
      <c r="G35" s="106">
        <f t="shared" si="0"/>
        <v>1577.8</v>
      </c>
      <c r="H35" s="27" t="s">
        <v>118</v>
      </c>
      <c r="I35" s="34"/>
      <c r="J35" s="139"/>
      <c r="K35" s="102">
        <v>172.2</v>
      </c>
      <c r="L35" s="102">
        <v>143.35</v>
      </c>
    </row>
    <row r="36" spans="1:16">
      <c r="A36" s="61" t="s">
        <v>1507</v>
      </c>
      <c r="B36" s="59">
        <v>7588</v>
      </c>
      <c r="C36" s="144" t="s">
        <v>1391</v>
      </c>
      <c r="D36" s="23">
        <v>4</v>
      </c>
      <c r="E36" s="1" t="s">
        <v>3</v>
      </c>
      <c r="F36" s="27">
        <v>56.9</v>
      </c>
      <c r="G36" s="106">
        <f t="shared" si="0"/>
        <v>227.6</v>
      </c>
      <c r="H36" s="27"/>
      <c r="I36" s="34"/>
      <c r="J36" s="139"/>
      <c r="K36" s="129"/>
      <c r="L36" s="102"/>
    </row>
    <row r="37" spans="1:16">
      <c r="A37" s="61" t="s">
        <v>1508</v>
      </c>
      <c r="B37" s="21" t="s">
        <v>128</v>
      </c>
      <c r="C37" s="25" t="s">
        <v>129</v>
      </c>
      <c r="D37" s="1">
        <v>5</v>
      </c>
      <c r="E37" s="1" t="s">
        <v>3</v>
      </c>
      <c r="F37" s="27">
        <v>473.66</v>
      </c>
      <c r="G37" s="106">
        <f t="shared" si="0"/>
        <v>2368.3000000000002</v>
      </c>
      <c r="H37" s="27" t="s">
        <v>130</v>
      </c>
      <c r="I37" s="34"/>
      <c r="J37" s="102"/>
      <c r="K37" s="102"/>
      <c r="L37" s="102"/>
    </row>
    <row r="38" spans="1:16">
      <c r="A38" s="61" t="s">
        <v>1509</v>
      </c>
      <c r="B38" s="59">
        <v>6011</v>
      </c>
      <c r="C38" s="62" t="s">
        <v>131</v>
      </c>
      <c r="D38" s="1">
        <v>2</v>
      </c>
      <c r="E38" s="1" t="s">
        <v>3</v>
      </c>
      <c r="F38" s="27">
        <v>266.98</v>
      </c>
      <c r="G38" s="106">
        <f t="shared" si="0"/>
        <v>533.96</v>
      </c>
      <c r="H38" s="27" t="s">
        <v>130</v>
      </c>
      <c r="I38" s="34"/>
      <c r="J38" s="102"/>
      <c r="K38" s="102"/>
      <c r="L38" s="102"/>
    </row>
    <row r="39" spans="1:16" ht="31.5">
      <c r="A39" s="61" t="s">
        <v>1510</v>
      </c>
      <c r="B39" s="59">
        <v>37554</v>
      </c>
      <c r="C39" s="63" t="s">
        <v>132</v>
      </c>
      <c r="D39" s="1">
        <v>1</v>
      </c>
      <c r="E39" s="1" t="s">
        <v>3</v>
      </c>
      <c r="F39" s="27">
        <v>211.38</v>
      </c>
      <c r="G39" s="106">
        <f t="shared" si="0"/>
        <v>211.38</v>
      </c>
      <c r="H39" s="27" t="s">
        <v>130</v>
      </c>
      <c r="I39" s="34"/>
      <c r="J39" s="102"/>
      <c r="K39" s="102"/>
      <c r="L39" s="102"/>
    </row>
    <row r="40" spans="1:16" ht="31.5">
      <c r="A40" s="61" t="s">
        <v>1511</v>
      </c>
      <c r="B40" s="59">
        <v>21044</v>
      </c>
      <c r="C40" s="63" t="s">
        <v>133</v>
      </c>
      <c r="D40" s="1">
        <v>5</v>
      </c>
      <c r="E40" s="1" t="s">
        <v>3</v>
      </c>
      <c r="F40" s="27">
        <v>35.770000000000003</v>
      </c>
      <c r="G40" s="106">
        <f t="shared" si="0"/>
        <v>178.85</v>
      </c>
      <c r="H40" s="27" t="s">
        <v>130</v>
      </c>
      <c r="I40" s="34"/>
      <c r="J40" s="102"/>
      <c r="K40" s="102"/>
      <c r="L40" s="102"/>
    </row>
    <row r="41" spans="1:16">
      <c r="A41" s="61" t="s">
        <v>1512</v>
      </c>
      <c r="B41" s="59">
        <v>11451</v>
      </c>
      <c r="C41" s="146" t="s">
        <v>134</v>
      </c>
      <c r="D41" s="1">
        <f>3*3</f>
        <v>9</v>
      </c>
      <c r="E41" s="1" t="s">
        <v>3</v>
      </c>
      <c r="F41" s="27">
        <v>77.28</v>
      </c>
      <c r="G41" s="106">
        <f t="shared" si="0"/>
        <v>695.52</v>
      </c>
      <c r="H41" s="27" t="s">
        <v>130</v>
      </c>
      <c r="I41" s="34"/>
      <c r="J41" s="306"/>
      <c r="K41" s="306"/>
      <c r="L41" s="306"/>
      <c r="M41" s="9"/>
      <c r="N41" s="9"/>
      <c r="O41" s="9"/>
      <c r="P41" s="9"/>
    </row>
    <row r="42" spans="1:16" ht="31.5">
      <c r="A42" s="61" t="s">
        <v>1513</v>
      </c>
      <c r="B42" s="59" t="s">
        <v>1397</v>
      </c>
      <c r="C42" s="146" t="s">
        <v>135</v>
      </c>
      <c r="D42" s="1">
        <v>150</v>
      </c>
      <c r="E42" s="1" t="s">
        <v>3</v>
      </c>
      <c r="F42" s="27">
        <v>9.26</v>
      </c>
      <c r="G42" s="106">
        <f t="shared" si="0"/>
        <v>1389</v>
      </c>
      <c r="H42" s="27" t="s">
        <v>136</v>
      </c>
      <c r="I42" s="34"/>
      <c r="J42" s="306"/>
      <c r="K42" s="306"/>
      <c r="L42" s="306"/>
      <c r="M42" s="306"/>
      <c r="N42" s="306"/>
      <c r="O42" s="306"/>
      <c r="P42" s="306"/>
    </row>
    <row r="43" spans="1:16" ht="31.5">
      <c r="A43" s="61" t="s">
        <v>1514</v>
      </c>
      <c r="B43" s="59" t="s">
        <v>1397</v>
      </c>
      <c r="C43" s="146" t="s">
        <v>137</v>
      </c>
      <c r="D43" s="1">
        <v>150</v>
      </c>
      <c r="E43" s="1" t="s">
        <v>3</v>
      </c>
      <c r="F43" s="27">
        <v>14.41</v>
      </c>
      <c r="G43" s="106">
        <f t="shared" si="0"/>
        <v>2161.5</v>
      </c>
      <c r="H43" s="27" t="s">
        <v>136</v>
      </c>
      <c r="I43" s="34"/>
      <c r="J43" s="306"/>
      <c r="K43" s="306"/>
      <c r="L43" s="306"/>
      <c r="M43" s="306"/>
      <c r="N43" s="306"/>
      <c r="O43" s="306"/>
      <c r="P43" s="306"/>
    </row>
    <row r="44" spans="1:16" ht="31.5">
      <c r="A44" s="61" t="s">
        <v>1515</v>
      </c>
      <c r="B44" s="59" t="s">
        <v>1397</v>
      </c>
      <c r="C44" s="146" t="s">
        <v>138</v>
      </c>
      <c r="D44" s="1">
        <v>50</v>
      </c>
      <c r="E44" s="1" t="s">
        <v>3</v>
      </c>
      <c r="F44" s="27">
        <v>45.38</v>
      </c>
      <c r="G44" s="106">
        <f t="shared" si="0"/>
        <v>2269</v>
      </c>
      <c r="H44" s="27" t="s">
        <v>136</v>
      </c>
      <c r="I44" s="34"/>
      <c r="J44" s="306"/>
      <c r="K44" s="306"/>
      <c r="L44" s="306"/>
      <c r="M44" s="306"/>
      <c r="N44" s="306"/>
      <c r="O44" s="306"/>
      <c r="P44" s="306"/>
    </row>
    <row r="45" spans="1:16" ht="31.5">
      <c r="A45" s="61" t="s">
        <v>1516</v>
      </c>
      <c r="B45" s="59" t="s">
        <v>1397</v>
      </c>
      <c r="C45" s="146" t="s">
        <v>139</v>
      </c>
      <c r="D45" s="1">
        <v>20</v>
      </c>
      <c r="E45" s="1" t="s">
        <v>3</v>
      </c>
      <c r="F45" s="27">
        <v>17.64</v>
      </c>
      <c r="G45" s="106">
        <f t="shared" si="0"/>
        <v>352.8</v>
      </c>
      <c r="H45" s="27" t="s">
        <v>136</v>
      </c>
      <c r="I45" s="34"/>
      <c r="J45" s="306"/>
      <c r="K45" s="306"/>
      <c r="L45" s="306"/>
      <c r="M45" s="306"/>
      <c r="N45" s="306"/>
      <c r="O45" s="306"/>
      <c r="P45" s="306"/>
    </row>
    <row r="46" spans="1:16" ht="31.5">
      <c r="A46" s="61" t="s">
        <v>1517</v>
      </c>
      <c r="B46" s="59" t="s">
        <v>1397</v>
      </c>
      <c r="C46" s="146" t="s">
        <v>140</v>
      </c>
      <c r="D46" s="1">
        <v>100</v>
      </c>
      <c r="E46" s="1" t="s">
        <v>3</v>
      </c>
      <c r="F46" s="27">
        <v>8.6</v>
      </c>
      <c r="G46" s="106">
        <f t="shared" si="0"/>
        <v>860</v>
      </c>
      <c r="H46" s="27" t="s">
        <v>136</v>
      </c>
      <c r="I46" s="34"/>
      <c r="J46" s="306"/>
      <c r="K46" s="306"/>
      <c r="L46" s="306"/>
      <c r="M46" s="306"/>
      <c r="N46" s="306"/>
      <c r="O46" s="306"/>
      <c r="P46" s="306"/>
    </row>
    <row r="47" spans="1:16" ht="31.5">
      <c r="A47" s="61" t="s">
        <v>1518</v>
      </c>
      <c r="B47" s="59" t="s">
        <v>1397</v>
      </c>
      <c r="C47" s="146" t="s">
        <v>1400</v>
      </c>
      <c r="D47" s="1">
        <v>50</v>
      </c>
      <c r="E47" s="1" t="s">
        <v>3</v>
      </c>
      <c r="F47" s="27">
        <v>16.45</v>
      </c>
      <c r="G47" s="106">
        <f t="shared" si="0"/>
        <v>822.5</v>
      </c>
      <c r="H47" s="27" t="s">
        <v>136</v>
      </c>
      <c r="I47" s="34"/>
      <c r="J47" s="306"/>
      <c r="K47" s="306"/>
      <c r="L47" s="306"/>
      <c r="M47" s="306"/>
      <c r="N47" s="306"/>
      <c r="O47" s="306"/>
      <c r="P47" s="306"/>
    </row>
    <row r="48" spans="1:16" ht="31.5">
      <c r="A48" s="61" t="s">
        <v>1519</v>
      </c>
      <c r="B48" s="59" t="s">
        <v>1397</v>
      </c>
      <c r="C48" s="146" t="s">
        <v>1398</v>
      </c>
      <c r="D48" s="1">
        <v>50</v>
      </c>
      <c r="E48" s="1" t="s">
        <v>3</v>
      </c>
      <c r="F48" s="27">
        <v>9.26</v>
      </c>
      <c r="G48" s="106">
        <f t="shared" si="0"/>
        <v>463</v>
      </c>
      <c r="H48" s="27" t="s">
        <v>136</v>
      </c>
      <c r="I48" s="34"/>
      <c r="J48" s="306"/>
      <c r="K48" s="306"/>
      <c r="L48" s="306"/>
      <c r="M48" s="306"/>
      <c r="N48" s="306"/>
      <c r="O48" s="306"/>
      <c r="P48" s="306"/>
    </row>
    <row r="49" spans="1:16" ht="31.5">
      <c r="A49" s="61" t="s">
        <v>1520</v>
      </c>
      <c r="B49" s="59" t="s">
        <v>1397</v>
      </c>
      <c r="C49" s="146" t="s">
        <v>1399</v>
      </c>
      <c r="D49" s="1">
        <v>10</v>
      </c>
      <c r="E49" s="1" t="s">
        <v>3</v>
      </c>
      <c r="F49" s="27">
        <v>18.399999999999999</v>
      </c>
      <c r="G49" s="106">
        <f t="shared" si="0"/>
        <v>184</v>
      </c>
      <c r="H49" s="27" t="s">
        <v>136</v>
      </c>
      <c r="I49" s="34"/>
      <c r="J49" s="306"/>
      <c r="K49" s="306"/>
      <c r="L49" s="306"/>
      <c r="M49" s="306"/>
      <c r="N49" s="306"/>
      <c r="O49" s="306"/>
      <c r="P49" s="306"/>
    </row>
    <row r="50" spans="1:16" ht="31.5">
      <c r="A50" s="61" t="s">
        <v>1524</v>
      </c>
      <c r="B50" s="59" t="s">
        <v>1397</v>
      </c>
      <c r="C50" s="146" t="s">
        <v>141</v>
      </c>
      <c r="D50" s="1">
        <v>300</v>
      </c>
      <c r="E50" s="1" t="s">
        <v>3</v>
      </c>
      <c r="F50" s="27">
        <v>11.5</v>
      </c>
      <c r="G50" s="106">
        <f t="shared" si="0"/>
        <v>3450</v>
      </c>
      <c r="H50" s="27" t="s">
        <v>136</v>
      </c>
      <c r="I50" s="34"/>
      <c r="J50" s="306"/>
      <c r="K50" s="306"/>
      <c r="L50" s="306"/>
      <c r="M50" s="306"/>
      <c r="N50" s="306"/>
      <c r="O50" s="306"/>
      <c r="P50" s="306"/>
    </row>
    <row r="51" spans="1:16" ht="31.5">
      <c r="A51" s="61" t="s">
        <v>1525</v>
      </c>
      <c r="B51" s="59" t="s">
        <v>1397</v>
      </c>
      <c r="C51" s="25" t="s">
        <v>1401</v>
      </c>
      <c r="D51" s="1">
        <v>5</v>
      </c>
      <c r="E51" s="1" t="s">
        <v>3</v>
      </c>
      <c r="F51" s="27">
        <v>47.53</v>
      </c>
      <c r="G51" s="106">
        <f t="shared" si="0"/>
        <v>237.65</v>
      </c>
      <c r="H51" s="27" t="s">
        <v>136</v>
      </c>
      <c r="I51" s="34"/>
      <c r="J51" s="306"/>
      <c r="K51" s="306"/>
      <c r="L51" s="306"/>
      <c r="M51" s="306"/>
      <c r="N51" s="306"/>
      <c r="O51" s="306"/>
      <c r="P51" s="306"/>
    </row>
    <row r="52" spans="1:16" ht="31.5">
      <c r="A52" s="61" t="s">
        <v>1526</v>
      </c>
      <c r="B52" s="59" t="s">
        <v>1397</v>
      </c>
      <c r="C52" s="25" t="s">
        <v>142</v>
      </c>
      <c r="D52" s="1">
        <v>25</v>
      </c>
      <c r="E52" s="1" t="s">
        <v>3</v>
      </c>
      <c r="F52" s="27">
        <v>5.81</v>
      </c>
      <c r="G52" s="106">
        <f t="shared" si="0"/>
        <v>145.25</v>
      </c>
      <c r="H52" s="27" t="s">
        <v>136</v>
      </c>
      <c r="I52" s="34"/>
      <c r="J52" s="306"/>
      <c r="K52" s="306"/>
      <c r="L52" s="306"/>
      <c r="M52" s="306"/>
      <c r="N52" s="306"/>
      <c r="O52" s="306"/>
      <c r="P52" s="306"/>
    </row>
    <row r="53" spans="1:16" ht="31.5">
      <c r="A53" s="61" t="s">
        <v>1527</v>
      </c>
      <c r="B53" s="59" t="s">
        <v>1397</v>
      </c>
      <c r="C53" s="25" t="s">
        <v>143</v>
      </c>
      <c r="D53" s="1">
        <v>5</v>
      </c>
      <c r="E53" s="1" t="s">
        <v>3</v>
      </c>
      <c r="F53" s="27">
        <v>100.22</v>
      </c>
      <c r="G53" s="106">
        <f t="shared" si="0"/>
        <v>501.1</v>
      </c>
      <c r="H53" s="27" t="s">
        <v>136</v>
      </c>
      <c r="I53" s="34"/>
      <c r="J53" s="306"/>
      <c r="K53" s="306"/>
      <c r="L53" s="306"/>
      <c r="M53" s="306"/>
      <c r="N53" s="306"/>
      <c r="O53" s="306"/>
      <c r="P53" s="306"/>
    </row>
    <row r="54" spans="1:16">
      <c r="A54" s="61" t="s">
        <v>1528</v>
      </c>
      <c r="B54" s="21" t="s">
        <v>1432</v>
      </c>
      <c r="C54" s="25" t="s">
        <v>144</v>
      </c>
      <c r="D54" s="1">
        <v>5</v>
      </c>
      <c r="E54" s="1" t="s">
        <v>3</v>
      </c>
      <c r="F54" s="27">
        <v>28.74</v>
      </c>
      <c r="G54" s="106">
        <f t="shared" si="0"/>
        <v>143.69999999999999</v>
      </c>
      <c r="H54" s="27" t="s">
        <v>136</v>
      </c>
      <c r="I54" s="34"/>
      <c r="J54" s="306"/>
      <c r="K54" s="306"/>
      <c r="L54" s="306"/>
      <c r="M54" s="306"/>
      <c r="N54" s="306"/>
      <c r="O54" s="306"/>
      <c r="P54" s="306"/>
    </row>
    <row r="55" spans="1:16" ht="31.5">
      <c r="A55" s="61" t="s">
        <v>1529</v>
      </c>
      <c r="B55" s="59" t="s">
        <v>1397</v>
      </c>
      <c r="C55" s="25" t="s">
        <v>145</v>
      </c>
      <c r="D55" s="1">
        <v>2</v>
      </c>
      <c r="E55" s="1" t="s">
        <v>3</v>
      </c>
      <c r="F55" s="27">
        <v>95.09</v>
      </c>
      <c r="G55" s="106">
        <f t="shared" si="0"/>
        <v>190.18</v>
      </c>
      <c r="H55" s="27" t="s">
        <v>136</v>
      </c>
      <c r="I55" s="34"/>
      <c r="J55" s="306"/>
      <c r="K55" s="306"/>
      <c r="L55" s="306"/>
      <c r="M55" s="306"/>
      <c r="N55" s="306"/>
      <c r="O55" s="306"/>
      <c r="P55" s="306"/>
    </row>
    <row r="56" spans="1:16" ht="31.5">
      <c r="A56" s="61" t="s">
        <v>1530</v>
      </c>
      <c r="B56" s="59" t="s">
        <v>1397</v>
      </c>
      <c r="C56" s="25" t="s">
        <v>1402</v>
      </c>
      <c r="D56" s="1">
        <v>30</v>
      </c>
      <c r="E56" s="1" t="s">
        <v>3</v>
      </c>
      <c r="F56" s="27">
        <v>64</v>
      </c>
      <c r="G56" s="106">
        <f t="shared" si="0"/>
        <v>1920</v>
      </c>
      <c r="H56" s="27" t="s">
        <v>136</v>
      </c>
      <c r="I56" s="34"/>
      <c r="K56" s="306"/>
      <c r="L56" s="306"/>
      <c r="M56" s="9"/>
      <c r="N56" s="9"/>
      <c r="O56" s="9"/>
      <c r="P56" s="306"/>
    </row>
    <row r="57" spans="1:16" ht="31.5">
      <c r="A57" s="61" t="s">
        <v>1531</v>
      </c>
      <c r="B57" s="59" t="s">
        <v>1397</v>
      </c>
      <c r="C57" s="25" t="s">
        <v>147</v>
      </c>
      <c r="D57" s="1">
        <v>10</v>
      </c>
      <c r="E57" s="1" t="s">
        <v>3</v>
      </c>
      <c r="F57" s="12">
        <v>32.89</v>
      </c>
      <c r="G57" s="106">
        <f t="shared" si="0"/>
        <v>328.9</v>
      </c>
      <c r="H57" s="27" t="s">
        <v>136</v>
      </c>
      <c r="I57" s="34"/>
      <c r="J57" s="306"/>
      <c r="K57" s="306"/>
      <c r="L57" s="306"/>
      <c r="M57" s="9"/>
      <c r="N57" s="9"/>
      <c r="O57" s="9"/>
      <c r="P57" s="9"/>
    </row>
    <row r="58" spans="1:16" ht="31.5">
      <c r="A58" s="61" t="s">
        <v>1532</v>
      </c>
      <c r="B58" s="59" t="s">
        <v>1397</v>
      </c>
      <c r="C58" s="25" t="s">
        <v>148</v>
      </c>
      <c r="D58" s="1">
        <v>6</v>
      </c>
      <c r="E58" s="1" t="s">
        <v>3</v>
      </c>
      <c r="F58" s="12">
        <v>41.27</v>
      </c>
      <c r="G58" s="106">
        <f t="shared" si="0"/>
        <v>247.62</v>
      </c>
      <c r="H58" s="27" t="s">
        <v>136</v>
      </c>
      <c r="I58" s="34"/>
      <c r="J58" s="139"/>
      <c r="K58" s="102"/>
      <c r="L58" s="102"/>
    </row>
    <row r="59" spans="1:16">
      <c r="A59" s="61" t="s">
        <v>1533</v>
      </c>
      <c r="B59" s="21" t="s">
        <v>149</v>
      </c>
      <c r="C59" s="25" t="s">
        <v>150</v>
      </c>
      <c r="D59" s="1">
        <v>100</v>
      </c>
      <c r="E59" s="1" t="s">
        <v>14</v>
      </c>
      <c r="F59" s="12">
        <v>9.23</v>
      </c>
      <c r="G59" s="106">
        <f t="shared" si="0"/>
        <v>923</v>
      </c>
      <c r="H59" s="27" t="s">
        <v>136</v>
      </c>
      <c r="I59" s="34"/>
      <c r="J59" s="102"/>
      <c r="K59" s="102"/>
      <c r="L59" s="102"/>
    </row>
    <row r="60" spans="1:16">
      <c r="A60" s="61" t="s">
        <v>1534</v>
      </c>
      <c r="B60" s="26" t="s">
        <v>151</v>
      </c>
      <c r="C60" s="3" t="s">
        <v>26</v>
      </c>
      <c r="D60" s="1">
        <v>5</v>
      </c>
      <c r="E60" s="1" t="s">
        <v>3</v>
      </c>
      <c r="F60" s="12">
        <v>38.479999999999997</v>
      </c>
      <c r="G60" s="106">
        <f t="shared" si="0"/>
        <v>192.4</v>
      </c>
      <c r="H60" s="27" t="s">
        <v>136</v>
      </c>
      <c r="I60" s="34"/>
      <c r="J60" s="102"/>
      <c r="K60" s="102"/>
      <c r="L60" s="102"/>
    </row>
    <row r="61" spans="1:16">
      <c r="A61" s="61" t="s">
        <v>1535</v>
      </c>
      <c r="B61" s="26" t="s">
        <v>152</v>
      </c>
      <c r="C61" s="3" t="s">
        <v>27</v>
      </c>
      <c r="D61" s="1">
        <v>30</v>
      </c>
      <c r="E61" s="1" t="s">
        <v>3</v>
      </c>
      <c r="F61" s="12">
        <v>4.0999999999999996</v>
      </c>
      <c r="G61" s="106">
        <f t="shared" si="0"/>
        <v>123</v>
      </c>
      <c r="H61" s="27" t="s">
        <v>136</v>
      </c>
      <c r="I61" s="34"/>
      <c r="J61" s="102"/>
      <c r="K61" s="102"/>
      <c r="L61" s="102"/>
    </row>
    <row r="62" spans="1:16">
      <c r="A62" s="61" t="s">
        <v>1536</v>
      </c>
      <c r="B62" s="21" t="s">
        <v>153</v>
      </c>
      <c r="C62" s="24" t="s">
        <v>154</v>
      </c>
      <c r="D62" s="23">
        <v>50</v>
      </c>
      <c r="E62" s="29" t="s">
        <v>14</v>
      </c>
      <c r="F62" s="12">
        <v>2.77</v>
      </c>
      <c r="G62" s="106">
        <f t="shared" si="0"/>
        <v>138.5</v>
      </c>
      <c r="H62" s="27" t="s">
        <v>136</v>
      </c>
      <c r="I62" s="34"/>
      <c r="J62" s="102"/>
      <c r="K62" s="102"/>
      <c r="L62" s="102"/>
    </row>
    <row r="63" spans="1:16">
      <c r="A63" s="61" t="s">
        <v>1537</v>
      </c>
      <c r="B63" s="21" t="s">
        <v>155</v>
      </c>
      <c r="C63" s="24" t="s">
        <v>156</v>
      </c>
      <c r="D63" s="23">
        <v>100</v>
      </c>
      <c r="E63" s="29" t="s">
        <v>14</v>
      </c>
      <c r="F63" s="12">
        <v>4.5999999999999996</v>
      </c>
      <c r="G63" s="106">
        <f t="shared" si="0"/>
        <v>460</v>
      </c>
      <c r="H63" s="27" t="s">
        <v>136</v>
      </c>
      <c r="I63" s="34"/>
      <c r="J63" s="102"/>
      <c r="K63" s="102"/>
      <c r="L63" s="102"/>
    </row>
    <row r="64" spans="1:16">
      <c r="A64" s="61" t="s">
        <v>1538</v>
      </c>
      <c r="B64" s="21" t="s">
        <v>157</v>
      </c>
      <c r="C64" s="24" t="s">
        <v>158</v>
      </c>
      <c r="D64" s="23">
        <v>30</v>
      </c>
      <c r="E64" s="29" t="s">
        <v>14</v>
      </c>
      <c r="F64" s="12">
        <v>6.98</v>
      </c>
      <c r="G64" s="106">
        <f t="shared" si="0"/>
        <v>209.4</v>
      </c>
      <c r="H64" s="27" t="s">
        <v>136</v>
      </c>
      <c r="I64" s="34"/>
      <c r="J64" s="102"/>
      <c r="K64" s="102"/>
      <c r="L64" s="102"/>
    </row>
    <row r="65" spans="1:13">
      <c r="A65" s="61" t="s">
        <v>1539</v>
      </c>
      <c r="B65" s="21" t="s">
        <v>159</v>
      </c>
      <c r="C65" s="24" t="s">
        <v>160</v>
      </c>
      <c r="D65" s="23">
        <v>100</v>
      </c>
      <c r="E65" s="29" t="s">
        <v>14</v>
      </c>
      <c r="F65" s="12">
        <v>17.3</v>
      </c>
      <c r="G65" s="106">
        <f t="shared" si="0"/>
        <v>1730</v>
      </c>
      <c r="H65" s="27" t="s">
        <v>136</v>
      </c>
      <c r="I65" s="34"/>
      <c r="J65" s="102"/>
      <c r="K65" s="102"/>
      <c r="L65" s="102"/>
    </row>
    <row r="66" spans="1:13">
      <c r="A66" s="61" t="s">
        <v>1540</v>
      </c>
      <c r="B66" s="21" t="s">
        <v>161</v>
      </c>
      <c r="C66" s="24" t="s">
        <v>1315</v>
      </c>
      <c r="D66" s="23">
        <v>2</v>
      </c>
      <c r="E66" s="1" t="s">
        <v>3</v>
      </c>
      <c r="F66" s="12">
        <v>98.38</v>
      </c>
      <c r="G66" s="106">
        <f t="shared" si="0"/>
        <v>196.76</v>
      </c>
      <c r="H66" s="27" t="s">
        <v>136</v>
      </c>
      <c r="I66" s="34"/>
      <c r="J66" s="102"/>
      <c r="K66" s="102"/>
      <c r="L66" s="102"/>
    </row>
    <row r="67" spans="1:13">
      <c r="A67" s="61" t="s">
        <v>1541</v>
      </c>
      <c r="B67" s="21" t="s">
        <v>162</v>
      </c>
      <c r="C67" s="24" t="s">
        <v>163</v>
      </c>
      <c r="D67" s="23">
        <v>1</v>
      </c>
      <c r="E67" s="1" t="s">
        <v>3</v>
      </c>
      <c r="F67" s="12">
        <v>267.82</v>
      </c>
      <c r="G67" s="106">
        <f t="shared" si="0"/>
        <v>267.82</v>
      </c>
      <c r="H67" s="27" t="s">
        <v>136</v>
      </c>
      <c r="I67" s="34"/>
      <c r="J67" s="102"/>
      <c r="K67" s="102"/>
      <c r="L67" s="102"/>
    </row>
    <row r="68" spans="1:13">
      <c r="A68" s="61" t="s">
        <v>1542</v>
      </c>
      <c r="B68" s="21" t="s">
        <v>164</v>
      </c>
      <c r="C68" s="24" t="s">
        <v>165</v>
      </c>
      <c r="D68" s="23">
        <v>1</v>
      </c>
      <c r="E68" s="1" t="s">
        <v>3</v>
      </c>
      <c r="F68" s="12">
        <v>269.42</v>
      </c>
      <c r="G68" s="106">
        <f t="shared" si="0"/>
        <v>269.42</v>
      </c>
      <c r="H68" s="27" t="s">
        <v>136</v>
      </c>
      <c r="I68" s="34"/>
      <c r="J68" s="102"/>
      <c r="K68" s="102"/>
      <c r="L68" s="102"/>
    </row>
    <row r="69" spans="1:13">
      <c r="A69" s="61" t="s">
        <v>1543</v>
      </c>
      <c r="B69" s="48" t="s">
        <v>166</v>
      </c>
      <c r="C69" s="46" t="s">
        <v>167</v>
      </c>
      <c r="D69" s="23">
        <v>2</v>
      </c>
      <c r="E69" s="1" t="s">
        <v>3</v>
      </c>
      <c r="F69" s="12">
        <v>18.239999999999998</v>
      </c>
      <c r="G69" s="106">
        <f t="shared" ref="G69:G97" si="2">ROUND(D69*F69,2)</f>
        <v>36.479999999999997</v>
      </c>
      <c r="H69" s="27" t="s">
        <v>136</v>
      </c>
      <c r="I69" s="34"/>
      <c r="J69" s="102"/>
      <c r="K69" s="102"/>
      <c r="L69" s="102"/>
    </row>
    <row r="70" spans="1:13">
      <c r="A70" s="61" t="s">
        <v>1544</v>
      </c>
      <c r="B70" s="21" t="s">
        <v>168</v>
      </c>
      <c r="C70" s="24" t="s">
        <v>169</v>
      </c>
      <c r="D70" s="23">
        <v>2</v>
      </c>
      <c r="E70" s="1" t="s">
        <v>3</v>
      </c>
      <c r="F70" s="12">
        <v>30.6</v>
      </c>
      <c r="G70" s="106">
        <f t="shared" si="2"/>
        <v>61.2</v>
      </c>
      <c r="H70" s="27" t="s">
        <v>136</v>
      </c>
      <c r="I70" s="34"/>
      <c r="J70" s="102"/>
      <c r="K70" s="102"/>
      <c r="L70" s="102"/>
    </row>
    <row r="71" spans="1:13">
      <c r="A71" s="61" t="s">
        <v>1545</v>
      </c>
      <c r="B71" s="21" t="s">
        <v>1316</v>
      </c>
      <c r="C71" s="24" t="s">
        <v>170</v>
      </c>
      <c r="D71" s="23">
        <v>1</v>
      </c>
      <c r="E71" s="1" t="s">
        <v>3</v>
      </c>
      <c r="F71" s="12">
        <v>172.51</v>
      </c>
      <c r="G71" s="106">
        <f t="shared" si="2"/>
        <v>172.51</v>
      </c>
      <c r="H71" s="27" t="s">
        <v>136</v>
      </c>
      <c r="I71" s="34"/>
      <c r="J71" s="102"/>
      <c r="K71" s="102"/>
      <c r="L71" s="102"/>
    </row>
    <row r="72" spans="1:13">
      <c r="A72" s="61" t="s">
        <v>1546</v>
      </c>
      <c r="B72" s="21" t="s">
        <v>171</v>
      </c>
      <c r="C72" s="24" t="s">
        <v>172</v>
      </c>
      <c r="D72" s="23">
        <v>2</v>
      </c>
      <c r="E72" s="1" t="s">
        <v>3</v>
      </c>
      <c r="F72" s="12">
        <v>21.9</v>
      </c>
      <c r="G72" s="106">
        <f t="shared" si="2"/>
        <v>43.8</v>
      </c>
      <c r="H72" s="27" t="s">
        <v>136</v>
      </c>
      <c r="I72" s="34"/>
      <c r="J72" s="102"/>
      <c r="K72" s="102"/>
      <c r="L72" s="102"/>
    </row>
    <row r="73" spans="1:13">
      <c r="A73" s="61" t="s">
        <v>1547</v>
      </c>
      <c r="B73" s="21" t="s">
        <v>173</v>
      </c>
      <c r="C73" s="24" t="s">
        <v>174</v>
      </c>
      <c r="D73" s="23">
        <v>2</v>
      </c>
      <c r="E73" s="1" t="s">
        <v>3</v>
      </c>
      <c r="F73" s="12">
        <v>36.72</v>
      </c>
      <c r="G73" s="106">
        <f t="shared" si="2"/>
        <v>73.44</v>
      </c>
      <c r="H73" s="27" t="s">
        <v>136</v>
      </c>
      <c r="I73" s="34"/>
      <c r="J73" s="102"/>
      <c r="K73" s="102"/>
      <c r="L73" s="102"/>
    </row>
    <row r="74" spans="1:13">
      <c r="A74" s="61" t="s">
        <v>1548</v>
      </c>
      <c r="B74" s="21" t="s">
        <v>175</v>
      </c>
      <c r="C74" s="24" t="s">
        <v>176</v>
      </c>
      <c r="D74" s="23">
        <v>3</v>
      </c>
      <c r="E74" s="1" t="s">
        <v>3</v>
      </c>
      <c r="F74" s="12">
        <v>11.83</v>
      </c>
      <c r="G74" s="106">
        <f t="shared" si="2"/>
        <v>35.49</v>
      </c>
      <c r="H74" s="27" t="s">
        <v>136</v>
      </c>
      <c r="I74" s="34"/>
      <c r="J74" s="102"/>
      <c r="K74" s="102"/>
      <c r="L74" s="102"/>
    </row>
    <row r="75" spans="1:13">
      <c r="A75" s="61" t="s">
        <v>1549</v>
      </c>
      <c r="B75" s="21" t="s">
        <v>177</v>
      </c>
      <c r="C75" s="24" t="s">
        <v>178</v>
      </c>
      <c r="D75" s="23">
        <v>3</v>
      </c>
      <c r="E75" s="1" t="s">
        <v>3</v>
      </c>
      <c r="F75" s="12">
        <v>15.13</v>
      </c>
      <c r="G75" s="106">
        <f t="shared" si="2"/>
        <v>45.39</v>
      </c>
      <c r="H75" s="27" t="s">
        <v>136</v>
      </c>
      <c r="I75" s="34"/>
      <c r="J75" s="102"/>
      <c r="K75" s="102"/>
      <c r="L75" s="102"/>
    </row>
    <row r="76" spans="1:13">
      <c r="A76" s="61" t="s">
        <v>1550</v>
      </c>
      <c r="B76" s="21" t="s">
        <v>1392</v>
      </c>
      <c r="C76" s="46" t="s">
        <v>1390</v>
      </c>
      <c r="D76" s="23">
        <v>10</v>
      </c>
      <c r="E76" s="1" t="s">
        <v>3</v>
      </c>
      <c r="F76" s="12">
        <v>160</v>
      </c>
      <c r="G76" s="106">
        <f t="shared" si="2"/>
        <v>1600</v>
      </c>
      <c r="H76" s="27" t="s">
        <v>136</v>
      </c>
      <c r="I76" s="34"/>
      <c r="J76" s="102"/>
      <c r="K76" s="102"/>
      <c r="L76" s="102"/>
    </row>
    <row r="77" spans="1:13">
      <c r="A77" s="61" t="s">
        <v>1551</v>
      </c>
      <c r="B77" s="21" t="s">
        <v>179</v>
      </c>
      <c r="C77" s="46" t="s">
        <v>180</v>
      </c>
      <c r="D77" s="23">
        <v>2</v>
      </c>
      <c r="E77" s="1" t="s">
        <v>3</v>
      </c>
      <c r="F77" s="12">
        <f>7.95*45</f>
        <v>357.75</v>
      </c>
      <c r="G77" s="106">
        <f t="shared" si="2"/>
        <v>715.5</v>
      </c>
      <c r="H77" s="148" t="s">
        <v>181</v>
      </c>
      <c r="I77" s="34"/>
      <c r="J77" s="102"/>
      <c r="K77" s="102"/>
      <c r="L77" s="102"/>
    </row>
    <row r="78" spans="1:13">
      <c r="A78" s="61" t="s">
        <v>1552</v>
      </c>
      <c r="B78" s="21" t="s">
        <v>1318</v>
      </c>
      <c r="C78" s="46" t="s">
        <v>1317</v>
      </c>
      <c r="D78" s="23">
        <v>300</v>
      </c>
      <c r="E78" s="1" t="s">
        <v>1319</v>
      </c>
      <c r="F78" s="12">
        <v>5.97</v>
      </c>
      <c r="G78" s="106">
        <f t="shared" si="2"/>
        <v>1791</v>
      </c>
      <c r="H78" s="148" t="s">
        <v>181</v>
      </c>
      <c r="I78" s="34"/>
      <c r="J78" s="102"/>
      <c r="K78" s="102"/>
      <c r="L78" s="102"/>
    </row>
    <row r="79" spans="1:13">
      <c r="A79" s="61" t="s">
        <v>1553</v>
      </c>
      <c r="B79" s="98" t="s">
        <v>108</v>
      </c>
      <c r="C79" s="431" t="s">
        <v>1387</v>
      </c>
      <c r="D79" s="147">
        <v>1</v>
      </c>
      <c r="E79" s="1" t="s">
        <v>3</v>
      </c>
      <c r="F79" s="12">
        <f>ROUND(AVERAGE(K79:M79),2)</f>
        <v>384.33</v>
      </c>
      <c r="G79" s="106">
        <f t="shared" si="2"/>
        <v>384.33</v>
      </c>
      <c r="H79" s="148" t="s">
        <v>181</v>
      </c>
      <c r="I79" s="34"/>
      <c r="J79" s="102"/>
      <c r="K79" s="102">
        <v>385</v>
      </c>
      <c r="L79" s="102">
        <v>389</v>
      </c>
      <c r="M79" s="102">
        <v>379</v>
      </c>
    </row>
    <row r="80" spans="1:13">
      <c r="A80" s="61" t="s">
        <v>1554</v>
      </c>
      <c r="B80" s="98" t="s">
        <v>108</v>
      </c>
      <c r="C80" s="431" t="s">
        <v>1388</v>
      </c>
      <c r="D80" s="147">
        <v>20</v>
      </c>
      <c r="E80" s="1" t="s">
        <v>14</v>
      </c>
      <c r="F80" s="12">
        <f>ROUND(AVERAGE(K80:M80),2)</f>
        <v>59.49</v>
      </c>
      <c r="G80" s="106">
        <f t="shared" si="2"/>
        <v>1189.8</v>
      </c>
      <c r="H80" s="148" t="s">
        <v>181</v>
      </c>
      <c r="I80" s="34"/>
      <c r="J80" s="102"/>
      <c r="K80" s="102">
        <v>62.67</v>
      </c>
      <c r="L80" s="102">
        <v>58.4</v>
      </c>
      <c r="M80" s="102">
        <v>57.4</v>
      </c>
    </row>
    <row r="81" spans="1:15">
      <c r="A81" s="61" t="s">
        <v>1555</v>
      </c>
      <c r="B81" s="98" t="s">
        <v>638</v>
      </c>
      <c r="C81" s="431" t="s">
        <v>1389</v>
      </c>
      <c r="D81" s="147">
        <v>2</v>
      </c>
      <c r="E81" s="1" t="s">
        <v>3</v>
      </c>
      <c r="F81" s="12">
        <f>2*305.79</f>
        <v>611.58000000000004</v>
      </c>
      <c r="G81" s="106">
        <f t="shared" si="2"/>
        <v>1223.1600000000001</v>
      </c>
      <c r="H81" s="148" t="s">
        <v>181</v>
      </c>
      <c r="I81" s="34"/>
      <c r="J81" s="102"/>
      <c r="K81" s="102"/>
      <c r="L81" s="102"/>
      <c r="M81" s="572" t="s">
        <v>1775</v>
      </c>
      <c r="N81" s="573" t="s">
        <v>1771</v>
      </c>
      <c r="O81" s="573" t="s">
        <v>1773</v>
      </c>
    </row>
    <row r="82" spans="1:15" ht="31.5">
      <c r="A82" s="61" t="s">
        <v>1556</v>
      </c>
      <c r="B82" s="142" t="s">
        <v>108</v>
      </c>
      <c r="C82" s="433" t="s">
        <v>1160</v>
      </c>
      <c r="D82" s="23">
        <v>40</v>
      </c>
      <c r="E82" s="23" t="s">
        <v>1161</v>
      </c>
      <c r="F82" s="12">
        <f>ROUND(AVERAGE(J82:O82),2)</f>
        <v>23.42</v>
      </c>
      <c r="G82" s="106">
        <f t="shared" si="2"/>
        <v>936.8</v>
      </c>
      <c r="H82" s="148" t="s">
        <v>1195</v>
      </c>
      <c r="I82" s="34"/>
      <c r="J82" s="102"/>
      <c r="K82" s="102"/>
      <c r="L82" s="102"/>
      <c r="M82" s="102">
        <v>21.62</v>
      </c>
      <c r="N82" s="15">
        <v>25.21</v>
      </c>
    </row>
    <row r="83" spans="1:15" ht="31.5">
      <c r="A83" s="61" t="s">
        <v>1557</v>
      </c>
      <c r="B83" s="534" t="s">
        <v>1616</v>
      </c>
      <c r="C83" s="433" t="s">
        <v>1162</v>
      </c>
      <c r="D83" s="23">
        <v>5</v>
      </c>
      <c r="E83" s="23" t="s">
        <v>1161</v>
      </c>
      <c r="F83" s="12">
        <v>848.33</v>
      </c>
      <c r="G83" s="106">
        <f t="shared" si="2"/>
        <v>4241.6499999999996</v>
      </c>
      <c r="H83" s="148" t="s">
        <v>1195</v>
      </c>
      <c r="I83" s="34"/>
      <c r="J83" s="102"/>
      <c r="K83" s="102"/>
      <c r="L83" s="102"/>
      <c r="M83" s="102"/>
    </row>
    <row r="84" spans="1:15">
      <c r="A84" s="61" t="s">
        <v>1558</v>
      </c>
      <c r="B84" s="142" t="s">
        <v>108</v>
      </c>
      <c r="C84" s="433" t="s">
        <v>1617</v>
      </c>
      <c r="D84" s="23">
        <v>20</v>
      </c>
      <c r="E84" s="23" t="s">
        <v>1161</v>
      </c>
      <c r="F84" s="12">
        <v>655.88</v>
      </c>
      <c r="G84" s="106">
        <f t="shared" si="2"/>
        <v>13117.6</v>
      </c>
      <c r="H84" s="148" t="s">
        <v>1195</v>
      </c>
      <c r="I84" s="34"/>
      <c r="J84" s="102"/>
      <c r="K84" s="102"/>
      <c r="L84" s="102"/>
      <c r="M84" s="102"/>
    </row>
    <row r="85" spans="1:15">
      <c r="A85" s="61" t="s">
        <v>1559</v>
      </c>
      <c r="B85" s="142" t="s">
        <v>108</v>
      </c>
      <c r="C85" s="433" t="s">
        <v>1163</v>
      </c>
      <c r="D85" s="23">
        <v>15</v>
      </c>
      <c r="E85" s="23" t="s">
        <v>16</v>
      </c>
      <c r="F85" s="12">
        <f>ROUND(AVERAGE(J85:O85),2)</f>
        <v>32.479999999999997</v>
      </c>
      <c r="G85" s="106">
        <f t="shared" si="2"/>
        <v>487.2</v>
      </c>
      <c r="H85" s="148" t="s">
        <v>1195</v>
      </c>
      <c r="I85" s="34"/>
      <c r="J85" s="102"/>
      <c r="K85" s="102"/>
      <c r="L85" s="102"/>
      <c r="M85" s="102">
        <v>36.700000000000003</v>
      </c>
      <c r="N85" s="15">
        <v>28.25</v>
      </c>
    </row>
    <row r="86" spans="1:15">
      <c r="A86" s="61" t="s">
        <v>1560</v>
      </c>
      <c r="B86" s="142" t="s">
        <v>1438</v>
      </c>
      <c r="C86" s="433" t="s">
        <v>1164</v>
      </c>
      <c r="D86" s="23">
        <v>15</v>
      </c>
      <c r="E86" s="23" t="s">
        <v>1165</v>
      </c>
      <c r="F86" s="12">
        <v>19.87</v>
      </c>
      <c r="G86" s="106">
        <f t="shared" si="2"/>
        <v>298.05</v>
      </c>
      <c r="H86" s="148" t="s">
        <v>1195</v>
      </c>
      <c r="I86" s="34"/>
      <c r="J86" s="102"/>
      <c r="K86" s="102"/>
      <c r="L86" s="102"/>
      <c r="M86" s="102"/>
    </row>
    <row r="87" spans="1:15">
      <c r="A87" s="61" t="s">
        <v>1561</v>
      </c>
      <c r="B87" s="142" t="s">
        <v>108</v>
      </c>
      <c r="C87" s="433" t="s">
        <v>1166</v>
      </c>
      <c r="D87" s="23">
        <v>120</v>
      </c>
      <c r="E87" s="23" t="s">
        <v>1161</v>
      </c>
      <c r="F87" s="12">
        <f>ROUND(AVERAGE(J87:O87),2)</f>
        <v>17.79</v>
      </c>
      <c r="G87" s="106">
        <f t="shared" si="2"/>
        <v>2134.8000000000002</v>
      </c>
      <c r="H87" s="148" t="s">
        <v>1195</v>
      </c>
      <c r="I87" s="34"/>
      <c r="J87" s="102"/>
      <c r="K87" s="102"/>
      <c r="L87" s="102"/>
      <c r="M87" s="102">
        <v>17.309999999999999</v>
      </c>
      <c r="N87" s="15">
        <v>18.260000000000002</v>
      </c>
    </row>
    <row r="88" spans="1:15">
      <c r="A88" s="61" t="s">
        <v>1562</v>
      </c>
      <c r="B88" s="142" t="s">
        <v>1437</v>
      </c>
      <c r="C88" s="433" t="s">
        <v>1167</v>
      </c>
      <c r="D88" s="23">
        <v>25</v>
      </c>
      <c r="E88" s="23" t="s">
        <v>1168</v>
      </c>
      <c r="F88" s="12">
        <v>34.83</v>
      </c>
      <c r="G88" s="106">
        <f t="shared" si="2"/>
        <v>870.75</v>
      </c>
      <c r="H88" s="148" t="s">
        <v>1195</v>
      </c>
      <c r="I88" s="34"/>
      <c r="J88" s="102"/>
      <c r="K88" s="102"/>
      <c r="L88" s="102"/>
      <c r="M88" s="102"/>
    </row>
    <row r="89" spans="1:15">
      <c r="A89" s="61" t="s">
        <v>1563</v>
      </c>
      <c r="B89" s="142" t="s">
        <v>1435</v>
      </c>
      <c r="C89" s="433" t="s">
        <v>1169</v>
      </c>
      <c r="D89" s="23">
        <v>25</v>
      </c>
      <c r="E89" s="23" t="s">
        <v>1168</v>
      </c>
      <c r="F89" s="12">
        <v>72.680000000000007</v>
      </c>
      <c r="G89" s="106">
        <f t="shared" si="2"/>
        <v>1817</v>
      </c>
      <c r="H89" s="148" t="s">
        <v>1195</v>
      </c>
      <c r="I89" s="34"/>
      <c r="J89" s="102"/>
      <c r="K89" s="102"/>
      <c r="L89" s="102"/>
      <c r="M89" s="102"/>
    </row>
    <row r="90" spans="1:15">
      <c r="A90" s="61" t="s">
        <v>1564</v>
      </c>
      <c r="B90" s="142" t="s">
        <v>1436</v>
      </c>
      <c r="C90" s="433" t="s">
        <v>1170</v>
      </c>
      <c r="D90" s="23">
        <v>25</v>
      </c>
      <c r="E90" s="23" t="s">
        <v>1168</v>
      </c>
      <c r="F90" s="12">
        <v>90.4</v>
      </c>
      <c r="G90" s="106">
        <f t="shared" si="2"/>
        <v>2260</v>
      </c>
      <c r="H90" s="148" t="s">
        <v>1195</v>
      </c>
      <c r="I90" s="34"/>
      <c r="J90" s="102"/>
      <c r="K90" s="102"/>
      <c r="L90" s="102"/>
      <c r="M90" s="102"/>
    </row>
    <row r="91" spans="1:15">
      <c r="A91" s="61" t="s">
        <v>1565</v>
      </c>
      <c r="B91" s="142" t="s">
        <v>1433</v>
      </c>
      <c r="C91" s="433" t="s">
        <v>1171</v>
      </c>
      <c r="D91" s="23">
        <v>25</v>
      </c>
      <c r="E91" s="23" t="s">
        <v>1168</v>
      </c>
      <c r="F91" s="12">
        <v>53.58</v>
      </c>
      <c r="G91" s="106">
        <f t="shared" si="2"/>
        <v>1339.5</v>
      </c>
      <c r="H91" s="148" t="s">
        <v>1195</v>
      </c>
      <c r="I91" s="34"/>
      <c r="J91" s="102"/>
      <c r="K91" s="102"/>
      <c r="L91" s="102"/>
      <c r="M91" s="102"/>
    </row>
    <row r="92" spans="1:15">
      <c r="A92" s="61" t="s">
        <v>1566</v>
      </c>
      <c r="B92" s="142" t="s">
        <v>1434</v>
      </c>
      <c r="C92" s="433" t="s">
        <v>1172</v>
      </c>
      <c r="D92" s="23">
        <v>25</v>
      </c>
      <c r="E92" s="23" t="s">
        <v>1168</v>
      </c>
      <c r="F92" s="12">
        <v>109.33</v>
      </c>
      <c r="G92" s="106">
        <f t="shared" si="2"/>
        <v>2733.25</v>
      </c>
      <c r="H92" s="148" t="s">
        <v>1195</v>
      </c>
      <c r="I92" s="34"/>
      <c r="J92" s="102"/>
      <c r="K92" s="102"/>
      <c r="L92" s="102"/>
      <c r="M92" s="102"/>
    </row>
    <row r="93" spans="1:15">
      <c r="A93" s="61" t="s">
        <v>1567</v>
      </c>
      <c r="B93" s="142" t="s">
        <v>108</v>
      </c>
      <c r="C93" s="433" t="s">
        <v>1173</v>
      </c>
      <c r="D93" s="23">
        <v>7</v>
      </c>
      <c r="E93" s="23" t="s">
        <v>1161</v>
      </c>
      <c r="F93" s="12">
        <f>ROUND(AVERAGE(J93:O93),2)</f>
        <v>106.97</v>
      </c>
      <c r="G93" s="106">
        <f t="shared" si="2"/>
        <v>748.79</v>
      </c>
      <c r="H93" s="148" t="s">
        <v>1195</v>
      </c>
      <c r="I93" s="34"/>
      <c r="J93" s="102">
        <v>109.6</v>
      </c>
      <c r="K93" s="102">
        <v>51.59</v>
      </c>
      <c r="L93" s="102">
        <v>40.299999999999997</v>
      </c>
      <c r="M93" s="102"/>
      <c r="N93" s="15">
        <v>163.46</v>
      </c>
      <c r="O93" s="15">
        <v>169.88</v>
      </c>
    </row>
    <row r="94" spans="1:15">
      <c r="A94" s="61" t="s">
        <v>1568</v>
      </c>
      <c r="B94" s="142" t="s">
        <v>108</v>
      </c>
      <c r="C94" s="433" t="s">
        <v>1174</v>
      </c>
      <c r="D94" s="23">
        <v>350</v>
      </c>
      <c r="E94" s="23" t="s">
        <v>1161</v>
      </c>
      <c r="F94" s="12">
        <f>ROUND(AVERAGE(J94:O94),2)</f>
        <v>148.51</v>
      </c>
      <c r="G94" s="106">
        <f t="shared" si="2"/>
        <v>51978.5</v>
      </c>
      <c r="H94" s="148" t="s">
        <v>1195</v>
      </c>
      <c r="I94" s="34"/>
      <c r="J94" s="102">
        <v>167.7</v>
      </c>
      <c r="K94" s="102"/>
      <c r="L94" s="102"/>
      <c r="M94" s="102"/>
      <c r="N94" s="20">
        <v>129.32</v>
      </c>
    </row>
    <row r="95" spans="1:15">
      <c r="A95" s="61" t="s">
        <v>1569</v>
      </c>
      <c r="B95" s="142" t="s">
        <v>108</v>
      </c>
      <c r="C95" s="433" t="s">
        <v>1175</v>
      </c>
      <c r="D95" s="23">
        <v>4</v>
      </c>
      <c r="E95" s="23" t="s">
        <v>1161</v>
      </c>
      <c r="F95" s="12">
        <f>ROUND(AVERAGE(J95:O95),2)</f>
        <v>631.20000000000005</v>
      </c>
      <c r="G95" s="106">
        <f t="shared" si="2"/>
        <v>2524.8000000000002</v>
      </c>
      <c r="H95" s="148" t="s">
        <v>1195</v>
      </c>
      <c r="I95" s="34"/>
      <c r="J95" s="102">
        <v>899</v>
      </c>
      <c r="K95" s="102">
        <v>590</v>
      </c>
      <c r="L95" s="102"/>
      <c r="N95" s="20">
        <v>404.6</v>
      </c>
    </row>
    <row r="96" spans="1:15">
      <c r="A96" s="61" t="s">
        <v>1570</v>
      </c>
      <c r="B96" s="142" t="s">
        <v>108</v>
      </c>
      <c r="C96" s="433" t="s">
        <v>1439</v>
      </c>
      <c r="D96" s="23">
        <v>2</v>
      </c>
      <c r="E96" s="23" t="s">
        <v>14</v>
      </c>
      <c r="F96" s="12">
        <f>ROUND(AVERAGE(J96:L96),2)</f>
        <v>187.13</v>
      </c>
      <c r="G96" s="106">
        <f t="shared" si="2"/>
        <v>374.26</v>
      </c>
      <c r="H96" s="148" t="s">
        <v>1195</v>
      </c>
      <c r="I96" s="34"/>
      <c r="J96" s="102">
        <v>157.49</v>
      </c>
      <c r="K96" s="102">
        <v>194.99</v>
      </c>
      <c r="L96" s="102">
        <v>208.9</v>
      </c>
    </row>
    <row r="97" spans="1:14" ht="31.5">
      <c r="A97" s="61" t="s">
        <v>1571</v>
      </c>
      <c r="B97" s="59" t="s">
        <v>1397</v>
      </c>
      <c r="C97" s="433" t="s">
        <v>1179</v>
      </c>
      <c r="D97" s="23">
        <v>5</v>
      </c>
      <c r="E97" s="23" t="s">
        <v>1180</v>
      </c>
      <c r="F97" s="12">
        <v>1281.97</v>
      </c>
      <c r="G97" s="106">
        <f t="shared" si="2"/>
        <v>6409.85</v>
      </c>
      <c r="H97" s="148" t="s">
        <v>1195</v>
      </c>
      <c r="I97" s="34"/>
      <c r="J97" s="102"/>
      <c r="K97" s="102"/>
      <c r="L97" s="102"/>
    </row>
    <row r="98" spans="1:14">
      <c r="A98" s="61" t="s">
        <v>1572</v>
      </c>
      <c r="B98" s="142" t="s">
        <v>108</v>
      </c>
      <c r="C98" s="433" t="s">
        <v>1181</v>
      </c>
      <c r="D98" s="23">
        <v>10</v>
      </c>
      <c r="E98" s="23" t="s">
        <v>3</v>
      </c>
      <c r="F98" s="12">
        <f>ROUND(AVERAGE(J98:O98),2)</f>
        <v>856.98</v>
      </c>
      <c r="G98" s="106">
        <f t="shared" ref="G98:G153" si="3">ROUND(D98*F98,2)</f>
        <v>8569.7999999999993</v>
      </c>
      <c r="H98" s="148" t="s">
        <v>1195</v>
      </c>
      <c r="I98" s="34"/>
      <c r="J98" s="102">
        <f>757.54+165.31</f>
        <v>922.84999999999991</v>
      </c>
      <c r="K98" s="102"/>
      <c r="L98" s="102"/>
      <c r="N98" s="15">
        <v>791.11</v>
      </c>
    </row>
    <row r="99" spans="1:14">
      <c r="A99" s="61" t="s">
        <v>1573</v>
      </c>
      <c r="B99" s="142" t="s">
        <v>108</v>
      </c>
      <c r="C99" s="434" t="s">
        <v>1220</v>
      </c>
      <c r="D99" s="23">
        <v>2</v>
      </c>
      <c r="E99" s="23" t="s">
        <v>3</v>
      </c>
      <c r="F99" s="148">
        <f>ROUND(AVERAGE(K99:M99),2)</f>
        <v>544.87</v>
      </c>
      <c r="G99" s="106">
        <f t="shared" si="3"/>
        <v>1089.74</v>
      </c>
      <c r="H99" s="148" t="s">
        <v>1196</v>
      </c>
      <c r="I99" s="34"/>
      <c r="J99" s="528"/>
      <c r="K99" s="529">
        <v>475</v>
      </c>
      <c r="L99" s="529">
        <v>699.8</v>
      </c>
      <c r="M99" s="529">
        <v>459.8</v>
      </c>
    </row>
    <row r="100" spans="1:14">
      <c r="A100" s="61" t="s">
        <v>1574</v>
      </c>
      <c r="B100" s="142" t="s">
        <v>108</v>
      </c>
      <c r="C100" s="434" t="s">
        <v>1221</v>
      </c>
      <c r="D100" s="23">
        <v>4</v>
      </c>
      <c r="E100" s="23" t="s">
        <v>3</v>
      </c>
      <c r="F100" s="148">
        <f t="shared" ref="F100:F107" si="4">ROUND(AVERAGE(K100:M100),2)</f>
        <v>688.67</v>
      </c>
      <c r="G100" s="106">
        <f t="shared" si="3"/>
        <v>2754.68</v>
      </c>
      <c r="H100" s="148" t="s">
        <v>1196</v>
      </c>
      <c r="I100" s="34"/>
      <c r="J100" s="528"/>
      <c r="K100" s="529">
        <v>677</v>
      </c>
      <c r="L100" s="529">
        <v>690</v>
      </c>
      <c r="M100" s="530">
        <v>699</v>
      </c>
    </row>
    <row r="101" spans="1:14">
      <c r="A101" s="61" t="s">
        <v>1575</v>
      </c>
      <c r="B101" s="142" t="s">
        <v>108</v>
      </c>
      <c r="C101" s="434" t="s">
        <v>1222</v>
      </c>
      <c r="D101" s="23">
        <v>4</v>
      </c>
      <c r="E101" s="23" t="s">
        <v>3</v>
      </c>
      <c r="F101" s="148">
        <f t="shared" si="4"/>
        <v>1063.17</v>
      </c>
      <c r="G101" s="106">
        <f t="shared" si="3"/>
        <v>4252.68</v>
      </c>
      <c r="H101" s="148" t="s">
        <v>1196</v>
      </c>
      <c r="I101" s="34"/>
      <c r="J101" s="528"/>
      <c r="K101" s="529">
        <v>1191.5</v>
      </c>
      <c r="L101" s="529">
        <v>999</v>
      </c>
      <c r="M101" s="529">
        <v>999</v>
      </c>
    </row>
    <row r="102" spans="1:14">
      <c r="A102" s="61" t="s">
        <v>1576</v>
      </c>
      <c r="B102" s="142" t="s">
        <v>108</v>
      </c>
      <c r="C102" s="435" t="s">
        <v>1182</v>
      </c>
      <c r="D102" s="23">
        <v>4</v>
      </c>
      <c r="E102" s="23" t="s">
        <v>3</v>
      </c>
      <c r="F102" s="148">
        <f t="shared" si="4"/>
        <v>484.45</v>
      </c>
      <c r="G102" s="106">
        <f t="shared" si="3"/>
        <v>1937.8</v>
      </c>
      <c r="H102" s="148" t="s">
        <v>1196</v>
      </c>
      <c r="I102" s="34"/>
      <c r="J102" s="522"/>
      <c r="K102" s="530">
        <v>299</v>
      </c>
      <c r="L102" s="529">
        <v>479</v>
      </c>
      <c r="M102" s="529">
        <v>675.34</v>
      </c>
    </row>
    <row r="103" spans="1:14">
      <c r="A103" s="61" t="s">
        <v>1577</v>
      </c>
      <c r="B103" s="142" t="s">
        <v>108</v>
      </c>
      <c r="C103" s="434" t="s">
        <v>1183</v>
      </c>
      <c r="D103" s="23">
        <v>1</v>
      </c>
      <c r="E103" s="23" t="s">
        <v>3</v>
      </c>
      <c r="F103" s="148">
        <f t="shared" si="4"/>
        <v>473.24</v>
      </c>
      <c r="G103" s="106">
        <f t="shared" si="3"/>
        <v>473.24</v>
      </c>
      <c r="H103" s="148" t="s">
        <v>1196</v>
      </c>
      <c r="I103" s="34"/>
      <c r="J103" s="528"/>
      <c r="K103" s="530">
        <v>459.9</v>
      </c>
      <c r="L103" s="529">
        <v>514.9</v>
      </c>
      <c r="M103" s="529">
        <v>444.91</v>
      </c>
    </row>
    <row r="104" spans="1:14">
      <c r="A104" s="61" t="s">
        <v>1578</v>
      </c>
      <c r="B104" s="142" t="s">
        <v>108</v>
      </c>
      <c r="C104" s="433" t="s">
        <v>1223</v>
      </c>
      <c r="D104" s="23">
        <v>5</v>
      </c>
      <c r="E104" s="23" t="s">
        <v>3</v>
      </c>
      <c r="F104" s="148">
        <f t="shared" si="4"/>
        <v>47.42</v>
      </c>
      <c r="G104" s="106">
        <f t="shared" si="3"/>
        <v>237.1</v>
      </c>
      <c r="H104" s="148" t="s">
        <v>1196</v>
      </c>
      <c r="I104" s="34"/>
      <c r="J104" s="517"/>
      <c r="K104" s="529">
        <v>44.9</v>
      </c>
      <c r="L104" s="529">
        <v>48.06</v>
      </c>
      <c r="M104" s="529">
        <v>49.3</v>
      </c>
    </row>
    <row r="105" spans="1:14">
      <c r="A105" s="61" t="s">
        <v>1579</v>
      </c>
      <c r="B105" s="142" t="s">
        <v>108</v>
      </c>
      <c r="C105" s="433" t="s">
        <v>1224</v>
      </c>
      <c r="D105" s="23">
        <v>10</v>
      </c>
      <c r="E105" s="23" t="s">
        <v>3</v>
      </c>
      <c r="F105" s="148">
        <f t="shared" si="4"/>
        <v>56.27</v>
      </c>
      <c r="G105" s="106">
        <f t="shared" si="3"/>
        <v>562.70000000000005</v>
      </c>
      <c r="H105" s="148" t="s">
        <v>1196</v>
      </c>
      <c r="I105" s="34"/>
      <c r="J105" s="517"/>
      <c r="K105" s="529">
        <v>59.9</v>
      </c>
      <c r="L105" s="529">
        <v>48.9</v>
      </c>
      <c r="M105" s="529">
        <v>60</v>
      </c>
    </row>
    <row r="106" spans="1:14">
      <c r="A106" s="61" t="s">
        <v>1580</v>
      </c>
      <c r="B106" s="142" t="s">
        <v>108</v>
      </c>
      <c r="C106" s="433" t="s">
        <v>1225</v>
      </c>
      <c r="D106" s="23">
        <v>5</v>
      </c>
      <c r="E106" s="23" t="s">
        <v>3</v>
      </c>
      <c r="F106" s="148">
        <f t="shared" si="4"/>
        <v>74.959999999999994</v>
      </c>
      <c r="G106" s="106">
        <f t="shared" si="3"/>
        <v>374.8</v>
      </c>
      <c r="H106" s="148" t="s">
        <v>1196</v>
      </c>
      <c r="I106" s="34"/>
      <c r="J106" s="517"/>
      <c r="K106" s="529">
        <v>84.55</v>
      </c>
      <c r="L106" s="529">
        <v>69.91</v>
      </c>
      <c r="M106" s="529">
        <v>70.430000000000007</v>
      </c>
    </row>
    <row r="107" spans="1:14">
      <c r="A107" s="61" t="s">
        <v>1581</v>
      </c>
      <c r="B107" s="142" t="s">
        <v>108</v>
      </c>
      <c r="C107" s="433" t="s">
        <v>1226</v>
      </c>
      <c r="D107" s="23">
        <v>3</v>
      </c>
      <c r="E107" s="23" t="s">
        <v>3</v>
      </c>
      <c r="F107" s="148">
        <f t="shared" si="4"/>
        <v>120.18</v>
      </c>
      <c r="G107" s="106">
        <f t="shared" si="3"/>
        <v>360.54</v>
      </c>
      <c r="H107" s="148" t="s">
        <v>1196</v>
      </c>
      <c r="I107" s="34"/>
      <c r="J107" s="517"/>
      <c r="K107" s="529">
        <v>141.55000000000001</v>
      </c>
      <c r="L107" s="529">
        <v>120</v>
      </c>
      <c r="M107" s="529">
        <v>99</v>
      </c>
    </row>
    <row r="108" spans="1:14">
      <c r="A108" s="61" t="s">
        <v>1582</v>
      </c>
      <c r="B108" s="142" t="s">
        <v>1440</v>
      </c>
      <c r="C108" s="403" t="s">
        <v>1227</v>
      </c>
      <c r="D108" s="23">
        <v>1</v>
      </c>
      <c r="E108" s="23" t="s">
        <v>3</v>
      </c>
      <c r="F108" s="456">
        <v>790</v>
      </c>
      <c r="G108" s="106">
        <f t="shared" si="3"/>
        <v>790</v>
      </c>
      <c r="H108" s="148" t="s">
        <v>1197</v>
      </c>
      <c r="I108" s="34"/>
      <c r="J108" s="451"/>
      <c r="K108" s="102"/>
      <c r="L108" s="102"/>
    </row>
    <row r="109" spans="1:14">
      <c r="A109" s="61" t="s">
        <v>1583</v>
      </c>
      <c r="B109" s="142" t="s">
        <v>1440</v>
      </c>
      <c r="C109" s="403" t="s">
        <v>1228</v>
      </c>
      <c r="D109" s="23">
        <v>1</v>
      </c>
      <c r="E109" s="23" t="s">
        <v>3</v>
      </c>
      <c r="F109" s="456">
        <v>987</v>
      </c>
      <c r="G109" s="106">
        <f t="shared" si="3"/>
        <v>987</v>
      </c>
      <c r="H109" s="148" t="s">
        <v>1197</v>
      </c>
      <c r="I109" s="34"/>
      <c r="J109" s="102"/>
      <c r="K109" s="102"/>
      <c r="L109" s="102"/>
    </row>
    <row r="110" spans="1:14">
      <c r="A110" s="61" t="s">
        <v>1584</v>
      </c>
      <c r="B110" s="142" t="s">
        <v>1440</v>
      </c>
      <c r="C110" s="403" t="s">
        <v>1229</v>
      </c>
      <c r="D110" s="23">
        <v>1</v>
      </c>
      <c r="E110" s="23" t="s">
        <v>3</v>
      </c>
      <c r="F110" s="456">
        <v>1240</v>
      </c>
      <c r="G110" s="106">
        <f t="shared" si="3"/>
        <v>1240</v>
      </c>
      <c r="H110" s="148" t="s">
        <v>1197</v>
      </c>
      <c r="I110" s="34"/>
      <c r="J110" s="102"/>
      <c r="K110" s="102"/>
      <c r="L110" s="102"/>
    </row>
    <row r="111" spans="1:14">
      <c r="A111" s="61" t="s">
        <v>1585</v>
      </c>
      <c r="B111" s="142" t="s">
        <v>1440</v>
      </c>
      <c r="C111" s="403" t="s">
        <v>1230</v>
      </c>
      <c r="D111" s="23">
        <v>1</v>
      </c>
      <c r="E111" s="23" t="s">
        <v>3</v>
      </c>
      <c r="F111" s="456">
        <v>1240</v>
      </c>
      <c r="G111" s="106">
        <f t="shared" si="3"/>
        <v>1240</v>
      </c>
      <c r="H111" s="148" t="s">
        <v>1197</v>
      </c>
      <c r="I111" s="34"/>
      <c r="J111" s="102"/>
      <c r="K111" s="102"/>
      <c r="L111" s="102"/>
    </row>
    <row r="112" spans="1:14">
      <c r="A112" s="61" t="s">
        <v>1586</v>
      </c>
      <c r="B112" s="142" t="s">
        <v>1440</v>
      </c>
      <c r="C112" s="403" t="s">
        <v>1231</v>
      </c>
      <c r="D112" s="23">
        <v>1</v>
      </c>
      <c r="E112" s="23" t="s">
        <v>3</v>
      </c>
      <c r="F112" s="456">
        <v>1454.83</v>
      </c>
      <c r="G112" s="106">
        <f t="shared" si="3"/>
        <v>1454.83</v>
      </c>
      <c r="H112" s="148" t="s">
        <v>1197</v>
      </c>
      <c r="I112" s="34"/>
      <c r="J112" s="102"/>
      <c r="K112" s="102"/>
      <c r="L112" s="102"/>
    </row>
    <row r="113" spans="1:12">
      <c r="A113" s="61" t="s">
        <v>1587</v>
      </c>
      <c r="B113" s="142" t="s">
        <v>1440</v>
      </c>
      <c r="C113" s="403" t="s">
        <v>1232</v>
      </c>
      <c r="D113" s="23">
        <v>1</v>
      </c>
      <c r="E113" s="23" t="s">
        <v>3</v>
      </c>
      <c r="F113" s="456">
        <v>6988</v>
      </c>
      <c r="G113" s="106">
        <f t="shared" si="3"/>
        <v>6988</v>
      </c>
      <c r="H113" s="148" t="s">
        <v>1197</v>
      </c>
      <c r="I113" s="34"/>
      <c r="J113" s="102"/>
      <c r="K113" s="102"/>
      <c r="L113" s="102"/>
    </row>
    <row r="114" spans="1:12">
      <c r="A114" s="61" t="s">
        <v>1588</v>
      </c>
      <c r="B114" s="142" t="s">
        <v>1440</v>
      </c>
      <c r="C114" s="403" t="s">
        <v>1185</v>
      </c>
      <c r="D114" s="23">
        <v>1</v>
      </c>
      <c r="E114" s="23" t="s">
        <v>3</v>
      </c>
      <c r="F114" s="456">
        <v>7900</v>
      </c>
      <c r="G114" s="106">
        <f t="shared" si="3"/>
        <v>7900</v>
      </c>
      <c r="H114" s="148" t="s">
        <v>1197</v>
      </c>
      <c r="I114" s="34"/>
      <c r="J114" s="102"/>
      <c r="K114" s="102"/>
      <c r="L114" s="102"/>
    </row>
    <row r="115" spans="1:12">
      <c r="A115" s="61" t="s">
        <v>1589</v>
      </c>
      <c r="B115" s="142" t="s">
        <v>1440</v>
      </c>
      <c r="C115" s="403" t="s">
        <v>1233</v>
      </c>
      <c r="D115" s="23">
        <v>1</v>
      </c>
      <c r="E115" s="23" t="s">
        <v>3</v>
      </c>
      <c r="F115" s="456">
        <v>4360</v>
      </c>
      <c r="G115" s="106">
        <f t="shared" si="3"/>
        <v>4360</v>
      </c>
      <c r="H115" s="148" t="s">
        <v>1197</v>
      </c>
      <c r="I115" s="34"/>
      <c r="J115" s="102"/>
      <c r="K115" s="102"/>
      <c r="L115" s="102"/>
    </row>
    <row r="116" spans="1:12">
      <c r="A116" s="61" t="s">
        <v>1590</v>
      </c>
      <c r="B116" s="142" t="s">
        <v>1440</v>
      </c>
      <c r="C116" s="403" t="s">
        <v>1234</v>
      </c>
      <c r="D116" s="23">
        <v>1</v>
      </c>
      <c r="E116" s="23" t="s">
        <v>3</v>
      </c>
      <c r="F116" s="456">
        <v>4500</v>
      </c>
      <c r="G116" s="106">
        <f t="shared" si="3"/>
        <v>4500</v>
      </c>
      <c r="H116" s="148" t="s">
        <v>1197</v>
      </c>
      <c r="I116" s="34"/>
      <c r="J116" s="102"/>
      <c r="K116" s="102"/>
      <c r="L116" s="102"/>
    </row>
    <row r="117" spans="1:12">
      <c r="A117" s="61" t="s">
        <v>1591</v>
      </c>
      <c r="B117" s="142" t="s">
        <v>1440</v>
      </c>
      <c r="C117" s="403" t="s">
        <v>1235</v>
      </c>
      <c r="D117" s="23">
        <v>1</v>
      </c>
      <c r="E117" s="23" t="s">
        <v>3</v>
      </c>
      <c r="F117" s="456">
        <v>8960</v>
      </c>
      <c r="G117" s="106">
        <f t="shared" si="3"/>
        <v>8960</v>
      </c>
      <c r="H117" s="148" t="s">
        <v>1197</v>
      </c>
      <c r="I117" s="34"/>
      <c r="J117" s="102"/>
      <c r="K117" s="102"/>
      <c r="L117" s="102"/>
    </row>
    <row r="118" spans="1:12">
      <c r="A118" s="61" t="s">
        <v>1592</v>
      </c>
      <c r="B118" s="142" t="s">
        <v>1440</v>
      </c>
      <c r="C118" s="403" t="s">
        <v>1236</v>
      </c>
      <c r="D118" s="23">
        <v>1</v>
      </c>
      <c r="E118" s="23" t="s">
        <v>3</v>
      </c>
      <c r="F118" s="456">
        <v>8400</v>
      </c>
      <c r="G118" s="106">
        <f t="shared" si="3"/>
        <v>8400</v>
      </c>
      <c r="H118" s="148" t="s">
        <v>1197</v>
      </c>
      <c r="I118" s="34"/>
      <c r="J118" s="102"/>
      <c r="K118" s="102"/>
      <c r="L118" s="102"/>
    </row>
    <row r="119" spans="1:12">
      <c r="A119" s="61" t="s">
        <v>1593</v>
      </c>
      <c r="B119" s="142" t="s">
        <v>1440</v>
      </c>
      <c r="C119" s="403" t="s">
        <v>1237</v>
      </c>
      <c r="D119" s="23">
        <v>1</v>
      </c>
      <c r="E119" s="23" t="s">
        <v>3</v>
      </c>
      <c r="F119" s="456">
        <v>12620</v>
      </c>
      <c r="G119" s="106">
        <f t="shared" si="3"/>
        <v>12620</v>
      </c>
      <c r="H119" s="148" t="s">
        <v>1197</v>
      </c>
      <c r="I119" s="34"/>
      <c r="J119" s="102"/>
      <c r="K119" s="102"/>
      <c r="L119" s="102"/>
    </row>
    <row r="120" spans="1:12">
      <c r="A120" s="61" t="s">
        <v>1594</v>
      </c>
      <c r="B120" s="142" t="s">
        <v>1440</v>
      </c>
      <c r="C120" s="403" t="s">
        <v>1238</v>
      </c>
      <c r="D120" s="23">
        <v>1</v>
      </c>
      <c r="E120" s="23" t="s">
        <v>3</v>
      </c>
      <c r="F120" s="456">
        <v>25.8</v>
      </c>
      <c r="G120" s="106">
        <f t="shared" si="3"/>
        <v>25.8</v>
      </c>
      <c r="H120" s="148" t="s">
        <v>1197</v>
      </c>
      <c r="I120" s="34"/>
      <c r="J120" s="102"/>
      <c r="K120" s="102"/>
      <c r="L120" s="102"/>
    </row>
    <row r="121" spans="1:12">
      <c r="A121" s="61" t="s">
        <v>1595</v>
      </c>
      <c r="B121" s="142" t="s">
        <v>1440</v>
      </c>
      <c r="C121" s="403" t="s">
        <v>1239</v>
      </c>
      <c r="D121" s="23">
        <v>1</v>
      </c>
      <c r="E121" s="23" t="s">
        <v>3</v>
      </c>
      <c r="F121" s="456">
        <v>652</v>
      </c>
      <c r="G121" s="106">
        <f t="shared" si="3"/>
        <v>652</v>
      </c>
      <c r="H121" s="148" t="s">
        <v>1197</v>
      </c>
      <c r="I121" s="34"/>
      <c r="J121" s="102"/>
      <c r="K121" s="102"/>
      <c r="L121" s="102"/>
    </row>
    <row r="122" spans="1:12">
      <c r="A122" s="61" t="s">
        <v>1596</v>
      </c>
      <c r="B122" s="142" t="s">
        <v>1440</v>
      </c>
      <c r="C122" s="403" t="s">
        <v>1240</v>
      </c>
      <c r="D122" s="23">
        <v>1</v>
      </c>
      <c r="E122" s="23" t="s">
        <v>3</v>
      </c>
      <c r="F122" s="456">
        <v>345</v>
      </c>
      <c r="G122" s="106">
        <f t="shared" si="3"/>
        <v>345</v>
      </c>
      <c r="H122" s="148" t="s">
        <v>1197</v>
      </c>
      <c r="I122" s="34"/>
      <c r="J122" s="102"/>
      <c r="K122" s="102"/>
      <c r="L122" s="102"/>
    </row>
    <row r="123" spans="1:12">
      <c r="A123" s="61" t="s">
        <v>1597</v>
      </c>
      <c r="B123" s="142" t="s">
        <v>1440</v>
      </c>
      <c r="C123" s="403" t="s">
        <v>1186</v>
      </c>
      <c r="D123" s="23">
        <v>1</v>
      </c>
      <c r="E123" s="23" t="s">
        <v>3</v>
      </c>
      <c r="F123" s="456">
        <v>1100</v>
      </c>
      <c r="G123" s="106">
        <f t="shared" si="3"/>
        <v>1100</v>
      </c>
      <c r="H123" s="148" t="s">
        <v>1197</v>
      </c>
      <c r="I123" s="34"/>
      <c r="J123" s="102"/>
      <c r="K123" s="102"/>
      <c r="L123" s="102"/>
    </row>
    <row r="124" spans="1:12">
      <c r="A124" s="61" t="s">
        <v>1598</v>
      </c>
      <c r="B124" s="142" t="s">
        <v>1440</v>
      </c>
      <c r="C124" s="403" t="s">
        <v>1241</v>
      </c>
      <c r="D124" s="23">
        <v>1</v>
      </c>
      <c r="E124" s="23" t="s">
        <v>3</v>
      </c>
      <c r="F124" s="456">
        <v>385</v>
      </c>
      <c r="G124" s="106">
        <f t="shared" si="3"/>
        <v>385</v>
      </c>
      <c r="H124" s="148" t="s">
        <v>1197</v>
      </c>
      <c r="I124" s="34"/>
      <c r="J124" s="102"/>
      <c r="K124" s="102"/>
      <c r="L124" s="102"/>
    </row>
    <row r="125" spans="1:12">
      <c r="A125" s="61" t="s">
        <v>1599</v>
      </c>
      <c r="B125" s="142" t="s">
        <v>1440</v>
      </c>
      <c r="C125" s="403" t="s">
        <v>1187</v>
      </c>
      <c r="D125" s="23">
        <v>1</v>
      </c>
      <c r="E125" s="23" t="s">
        <v>3</v>
      </c>
      <c r="F125" s="456">
        <v>1530</v>
      </c>
      <c r="G125" s="106">
        <f t="shared" si="3"/>
        <v>1530</v>
      </c>
      <c r="H125" s="148" t="s">
        <v>1197</v>
      </c>
      <c r="I125" s="34"/>
      <c r="J125" s="102"/>
      <c r="K125" s="102"/>
      <c r="L125" s="102"/>
    </row>
    <row r="126" spans="1:12">
      <c r="A126" s="61" t="s">
        <v>1600</v>
      </c>
      <c r="B126" s="142" t="s">
        <v>1440</v>
      </c>
      <c r="C126" s="403" t="s">
        <v>1242</v>
      </c>
      <c r="D126" s="23">
        <v>1</v>
      </c>
      <c r="E126" s="23" t="s">
        <v>3</v>
      </c>
      <c r="F126" s="456">
        <v>1890</v>
      </c>
      <c r="G126" s="106">
        <f t="shared" si="3"/>
        <v>1890</v>
      </c>
      <c r="H126" s="148" t="s">
        <v>1197</v>
      </c>
      <c r="I126" s="34"/>
      <c r="J126" s="102"/>
      <c r="K126" s="102"/>
      <c r="L126" s="102"/>
    </row>
    <row r="127" spans="1:12">
      <c r="A127" s="61" t="s">
        <v>1601</v>
      </c>
      <c r="B127" s="142" t="s">
        <v>1440</v>
      </c>
      <c r="C127" s="403" t="s">
        <v>1243</v>
      </c>
      <c r="D127" s="23">
        <v>1</v>
      </c>
      <c r="E127" s="23" t="s">
        <v>3</v>
      </c>
      <c r="F127" s="456">
        <v>1890</v>
      </c>
      <c r="G127" s="106">
        <f t="shared" si="3"/>
        <v>1890</v>
      </c>
      <c r="H127" s="148" t="s">
        <v>1197</v>
      </c>
      <c r="I127" s="34"/>
      <c r="J127" s="102"/>
      <c r="K127" s="102"/>
      <c r="L127" s="102"/>
    </row>
    <row r="128" spans="1:12">
      <c r="A128" s="61" t="s">
        <v>1602</v>
      </c>
      <c r="B128" s="142" t="s">
        <v>1440</v>
      </c>
      <c r="C128" s="403" t="s">
        <v>1244</v>
      </c>
      <c r="D128" s="23">
        <v>1</v>
      </c>
      <c r="E128" s="23" t="s">
        <v>3</v>
      </c>
      <c r="F128" s="456">
        <v>18640</v>
      </c>
      <c r="G128" s="106">
        <f t="shared" si="3"/>
        <v>18640</v>
      </c>
      <c r="H128" s="148" t="s">
        <v>1197</v>
      </c>
      <c r="I128" s="34"/>
      <c r="J128" s="102"/>
      <c r="K128" s="102"/>
      <c r="L128" s="102"/>
    </row>
    <row r="129" spans="1:12">
      <c r="A129" s="61" t="s">
        <v>1603</v>
      </c>
      <c r="B129" s="142" t="s">
        <v>1440</v>
      </c>
      <c r="C129" s="403" t="s">
        <v>1245</v>
      </c>
      <c r="D129" s="23">
        <v>1</v>
      </c>
      <c r="E129" s="23" t="s">
        <v>3</v>
      </c>
      <c r="F129" s="456">
        <v>19650</v>
      </c>
      <c r="G129" s="106">
        <f t="shared" si="3"/>
        <v>19650</v>
      </c>
      <c r="H129" s="148" t="s">
        <v>1197</v>
      </c>
      <c r="I129" s="34"/>
      <c r="J129" s="102"/>
      <c r="K129" s="102"/>
      <c r="L129" s="102"/>
    </row>
    <row r="130" spans="1:12">
      <c r="A130" s="61" t="s">
        <v>1604</v>
      </c>
      <c r="B130" s="142" t="s">
        <v>1440</v>
      </c>
      <c r="C130" s="403" t="s">
        <v>1246</v>
      </c>
      <c r="D130" s="23">
        <v>4</v>
      </c>
      <c r="E130" s="23" t="s">
        <v>3</v>
      </c>
      <c r="F130" s="456">
        <v>820</v>
      </c>
      <c r="G130" s="106">
        <f t="shared" si="3"/>
        <v>3280</v>
      </c>
      <c r="H130" s="148" t="s">
        <v>1197</v>
      </c>
      <c r="I130" s="34"/>
      <c r="J130" s="102"/>
      <c r="K130" s="102"/>
      <c r="L130" s="102"/>
    </row>
    <row r="131" spans="1:12">
      <c r="A131" s="61" t="s">
        <v>1605</v>
      </c>
      <c r="B131" s="142" t="s">
        <v>1440</v>
      </c>
      <c r="C131" s="403" t="s">
        <v>1247</v>
      </c>
      <c r="D131" s="23">
        <v>1</v>
      </c>
      <c r="E131" s="23" t="s">
        <v>3</v>
      </c>
      <c r="F131" s="456">
        <v>904</v>
      </c>
      <c r="G131" s="106">
        <f t="shared" si="3"/>
        <v>904</v>
      </c>
      <c r="H131" s="148" t="s">
        <v>1197</v>
      </c>
      <c r="I131" s="34"/>
      <c r="J131" s="102"/>
      <c r="K131" s="102"/>
      <c r="L131" s="102"/>
    </row>
    <row r="132" spans="1:12">
      <c r="A132" s="61" t="s">
        <v>1606</v>
      </c>
      <c r="B132" s="142" t="s">
        <v>1440</v>
      </c>
      <c r="C132" s="403" t="s">
        <v>1188</v>
      </c>
      <c r="D132" s="23">
        <v>1</v>
      </c>
      <c r="E132" s="23" t="s">
        <v>3</v>
      </c>
      <c r="F132" s="456">
        <v>1985</v>
      </c>
      <c r="G132" s="106">
        <f t="shared" si="3"/>
        <v>1985</v>
      </c>
      <c r="H132" s="148" t="s">
        <v>1197</v>
      </c>
      <c r="I132" s="34"/>
      <c r="J132" s="102"/>
      <c r="K132" s="102"/>
      <c r="L132" s="102"/>
    </row>
    <row r="133" spans="1:12">
      <c r="A133" s="61" t="s">
        <v>1607</v>
      </c>
      <c r="B133" s="142" t="s">
        <v>1440</v>
      </c>
      <c r="C133" s="403" t="s">
        <v>1248</v>
      </c>
      <c r="D133" s="23">
        <v>1</v>
      </c>
      <c r="E133" s="23" t="s">
        <v>3</v>
      </c>
      <c r="F133" s="456">
        <v>850</v>
      </c>
      <c r="G133" s="106">
        <f t="shared" si="3"/>
        <v>850</v>
      </c>
      <c r="H133" s="148" t="s">
        <v>1197</v>
      </c>
      <c r="I133" s="34"/>
      <c r="J133" s="102"/>
      <c r="K133" s="102"/>
      <c r="L133" s="102"/>
    </row>
    <row r="134" spans="1:12">
      <c r="A134" s="61" t="s">
        <v>1740</v>
      </c>
      <c r="B134" s="142" t="s">
        <v>1440</v>
      </c>
      <c r="C134" s="403" t="s">
        <v>1189</v>
      </c>
      <c r="D134" s="23">
        <v>1</v>
      </c>
      <c r="E134" s="23" t="s">
        <v>3</v>
      </c>
      <c r="F134" s="456">
        <v>2890</v>
      </c>
      <c r="G134" s="106">
        <f t="shared" si="3"/>
        <v>2890</v>
      </c>
      <c r="H134" s="148" t="s">
        <v>1197</v>
      </c>
      <c r="I134" s="34"/>
      <c r="J134" s="102"/>
      <c r="K134" s="102"/>
      <c r="L134" s="102"/>
    </row>
    <row r="135" spans="1:12">
      <c r="A135" s="61" t="s">
        <v>1741</v>
      </c>
      <c r="B135" s="142" t="s">
        <v>1440</v>
      </c>
      <c r="C135" s="403" t="s">
        <v>1190</v>
      </c>
      <c r="D135" s="23">
        <v>1</v>
      </c>
      <c r="E135" s="23" t="s">
        <v>3</v>
      </c>
      <c r="F135" s="456">
        <v>1690</v>
      </c>
      <c r="G135" s="106">
        <f t="shared" si="3"/>
        <v>1690</v>
      </c>
      <c r="H135" s="148" t="s">
        <v>1197</v>
      </c>
      <c r="I135" s="34"/>
      <c r="J135" s="102"/>
      <c r="K135" s="102"/>
      <c r="L135" s="102"/>
    </row>
    <row r="136" spans="1:12">
      <c r="A136" s="61" t="s">
        <v>1742</v>
      </c>
      <c r="B136" s="142" t="s">
        <v>1440</v>
      </c>
      <c r="C136" s="403" t="s">
        <v>1191</v>
      </c>
      <c r="D136" s="23">
        <v>1</v>
      </c>
      <c r="E136" s="23" t="s">
        <v>3</v>
      </c>
      <c r="F136" s="456">
        <v>3200</v>
      </c>
      <c r="G136" s="106">
        <f t="shared" si="3"/>
        <v>3200</v>
      </c>
      <c r="H136" s="148" t="s">
        <v>1197</v>
      </c>
      <c r="I136" s="34"/>
      <c r="J136" s="102"/>
      <c r="K136" s="102"/>
      <c r="L136" s="102"/>
    </row>
    <row r="137" spans="1:12">
      <c r="A137" s="61" t="s">
        <v>1743</v>
      </c>
      <c r="B137" s="142" t="s">
        <v>1440</v>
      </c>
      <c r="C137" s="403" t="s">
        <v>1249</v>
      </c>
      <c r="D137" s="23">
        <v>1</v>
      </c>
      <c r="E137" s="23" t="s">
        <v>3</v>
      </c>
      <c r="F137" s="456">
        <v>2786</v>
      </c>
      <c r="G137" s="106">
        <f t="shared" si="3"/>
        <v>2786</v>
      </c>
      <c r="H137" s="148" t="s">
        <v>1197</v>
      </c>
      <c r="I137" s="34"/>
      <c r="J137" s="102"/>
      <c r="K137" s="102"/>
      <c r="L137" s="102"/>
    </row>
    <row r="138" spans="1:12">
      <c r="A138" s="61" t="s">
        <v>1744</v>
      </c>
      <c r="B138" s="142" t="s">
        <v>1440</v>
      </c>
      <c r="C138" s="403" t="s">
        <v>1250</v>
      </c>
      <c r="D138" s="23">
        <v>1</v>
      </c>
      <c r="E138" s="23" t="s">
        <v>3</v>
      </c>
      <c r="F138" s="456">
        <v>1760</v>
      </c>
      <c r="G138" s="106">
        <f t="shared" si="3"/>
        <v>1760</v>
      </c>
      <c r="H138" s="148" t="s">
        <v>1197</v>
      </c>
      <c r="I138" s="34"/>
      <c r="J138" s="102"/>
      <c r="K138" s="102"/>
      <c r="L138" s="102"/>
    </row>
    <row r="139" spans="1:12">
      <c r="A139" s="61" t="s">
        <v>1745</v>
      </c>
      <c r="B139" s="142" t="s">
        <v>1440</v>
      </c>
      <c r="C139" s="403" t="s">
        <v>1251</v>
      </c>
      <c r="D139" s="23">
        <v>1</v>
      </c>
      <c r="E139" s="23" t="s">
        <v>3</v>
      </c>
      <c r="F139" s="456">
        <v>1980</v>
      </c>
      <c r="G139" s="106">
        <f t="shared" si="3"/>
        <v>1980</v>
      </c>
      <c r="H139" s="148" t="s">
        <v>1197</v>
      </c>
      <c r="I139" s="34"/>
      <c r="J139" s="102"/>
      <c r="K139" s="102"/>
      <c r="L139" s="102"/>
    </row>
    <row r="140" spans="1:12">
      <c r="A140" s="61" t="s">
        <v>1746</v>
      </c>
      <c r="B140" s="142" t="s">
        <v>1440</v>
      </c>
      <c r="C140" s="403" t="s">
        <v>1252</v>
      </c>
      <c r="D140" s="23">
        <v>1</v>
      </c>
      <c r="E140" s="23" t="s">
        <v>3</v>
      </c>
      <c r="F140" s="456">
        <v>2130</v>
      </c>
      <c r="G140" s="106">
        <f t="shared" si="3"/>
        <v>2130</v>
      </c>
      <c r="H140" s="148" t="s">
        <v>1197</v>
      </c>
      <c r="I140" s="34"/>
      <c r="J140" s="102"/>
      <c r="K140" s="102"/>
      <c r="L140" s="102"/>
    </row>
    <row r="141" spans="1:12">
      <c r="A141" s="61" t="s">
        <v>1747</v>
      </c>
      <c r="B141" s="142" t="s">
        <v>1440</v>
      </c>
      <c r="C141" s="403" t="s">
        <v>1253</v>
      </c>
      <c r="D141" s="23">
        <v>1</v>
      </c>
      <c r="E141" s="23" t="s">
        <v>3</v>
      </c>
      <c r="F141" s="456">
        <v>2100</v>
      </c>
      <c r="G141" s="106">
        <f t="shared" si="3"/>
        <v>2100</v>
      </c>
      <c r="H141" s="148" t="s">
        <v>1197</v>
      </c>
      <c r="I141" s="34"/>
      <c r="J141" s="102"/>
      <c r="K141" s="102"/>
      <c r="L141" s="102"/>
    </row>
    <row r="142" spans="1:12">
      <c r="A142" s="61" t="s">
        <v>1748</v>
      </c>
      <c r="B142" s="142" t="s">
        <v>1440</v>
      </c>
      <c r="C142" s="403" t="s">
        <v>1192</v>
      </c>
      <c r="D142" s="23">
        <v>1</v>
      </c>
      <c r="E142" s="23" t="s">
        <v>3</v>
      </c>
      <c r="F142" s="456">
        <v>825</v>
      </c>
      <c r="G142" s="106">
        <f t="shared" si="3"/>
        <v>825</v>
      </c>
      <c r="H142" s="148" t="s">
        <v>1197</v>
      </c>
      <c r="I142" s="34"/>
      <c r="J142" s="102"/>
      <c r="K142" s="102"/>
      <c r="L142" s="102"/>
    </row>
    <row r="143" spans="1:12">
      <c r="A143" s="61" t="s">
        <v>1749</v>
      </c>
      <c r="B143" s="142" t="s">
        <v>1440</v>
      </c>
      <c r="C143" s="403" t="s">
        <v>1254</v>
      </c>
      <c r="D143" s="23">
        <v>1</v>
      </c>
      <c r="E143" s="23" t="s">
        <v>3</v>
      </c>
      <c r="F143" s="456">
        <v>930</v>
      </c>
      <c r="G143" s="106">
        <f t="shared" si="3"/>
        <v>930</v>
      </c>
      <c r="H143" s="148" t="s">
        <v>1197</v>
      </c>
      <c r="I143" s="34"/>
      <c r="J143" s="102"/>
      <c r="K143" s="102"/>
      <c r="L143" s="102"/>
    </row>
    <row r="144" spans="1:12">
      <c r="A144" s="61" t="s">
        <v>1750</v>
      </c>
      <c r="B144" s="142" t="s">
        <v>1440</v>
      </c>
      <c r="C144" s="403" t="s">
        <v>1255</v>
      </c>
      <c r="D144" s="23">
        <v>1</v>
      </c>
      <c r="E144" s="23" t="s">
        <v>3</v>
      </c>
      <c r="F144" s="456">
        <v>10450</v>
      </c>
      <c r="G144" s="106">
        <f t="shared" si="3"/>
        <v>10450</v>
      </c>
      <c r="H144" s="148" t="s">
        <v>1197</v>
      </c>
      <c r="I144" s="34"/>
      <c r="J144" s="102"/>
      <c r="K144" s="102"/>
      <c r="L144" s="102"/>
    </row>
    <row r="145" spans="1:12">
      <c r="A145" s="61" t="s">
        <v>1751</v>
      </c>
      <c r="B145" s="142" t="s">
        <v>1440</v>
      </c>
      <c r="C145" s="403" t="s">
        <v>1256</v>
      </c>
      <c r="D145" s="23">
        <v>1</v>
      </c>
      <c r="E145" s="23" t="s">
        <v>3</v>
      </c>
      <c r="F145" s="456">
        <v>3500</v>
      </c>
      <c r="G145" s="106">
        <f t="shared" si="3"/>
        <v>3500</v>
      </c>
      <c r="H145" s="148" t="s">
        <v>1197</v>
      </c>
      <c r="I145" s="34"/>
      <c r="J145" s="102"/>
      <c r="K145" s="102"/>
      <c r="L145" s="102"/>
    </row>
    <row r="146" spans="1:12">
      <c r="A146" s="61" t="s">
        <v>1752</v>
      </c>
      <c r="B146" s="142" t="s">
        <v>1440</v>
      </c>
      <c r="C146" s="403" t="s">
        <v>1257</v>
      </c>
      <c r="D146" s="23">
        <v>1</v>
      </c>
      <c r="E146" s="23" t="s">
        <v>3</v>
      </c>
      <c r="F146" s="456">
        <v>960</v>
      </c>
      <c r="G146" s="106">
        <f t="shared" si="3"/>
        <v>960</v>
      </c>
      <c r="H146" s="148" t="s">
        <v>1197</v>
      </c>
      <c r="I146" s="34"/>
      <c r="J146" s="102"/>
      <c r="K146" s="102"/>
      <c r="L146" s="102"/>
    </row>
    <row r="147" spans="1:12">
      <c r="A147" s="61" t="s">
        <v>1753</v>
      </c>
      <c r="B147" s="142" t="s">
        <v>1440</v>
      </c>
      <c r="C147" s="403" t="s">
        <v>1258</v>
      </c>
      <c r="D147" s="23">
        <v>1</v>
      </c>
      <c r="E147" s="23" t="s">
        <v>3</v>
      </c>
      <c r="F147" s="456">
        <v>1844</v>
      </c>
      <c r="G147" s="106">
        <f t="shared" si="3"/>
        <v>1844</v>
      </c>
      <c r="H147" s="148" t="s">
        <v>1197</v>
      </c>
      <c r="I147" s="34"/>
      <c r="J147" s="102"/>
      <c r="K147" s="102"/>
      <c r="L147" s="102"/>
    </row>
    <row r="148" spans="1:12">
      <c r="A148" s="61" t="s">
        <v>1754</v>
      </c>
      <c r="B148" s="142" t="s">
        <v>1440</v>
      </c>
      <c r="C148" s="403" t="s">
        <v>1259</v>
      </c>
      <c r="D148" s="23">
        <v>1</v>
      </c>
      <c r="E148" s="23" t="s">
        <v>3</v>
      </c>
      <c r="F148" s="456">
        <v>1100</v>
      </c>
      <c r="G148" s="106">
        <f t="shared" si="3"/>
        <v>1100</v>
      </c>
      <c r="H148" s="148" t="s">
        <v>1197</v>
      </c>
      <c r="I148" s="34"/>
      <c r="J148" s="102"/>
      <c r="K148" s="102"/>
      <c r="L148" s="102"/>
    </row>
    <row r="149" spans="1:12">
      <c r="A149" s="61" t="s">
        <v>1755</v>
      </c>
      <c r="B149" s="142" t="s">
        <v>1440</v>
      </c>
      <c r="C149" s="403" t="s">
        <v>1260</v>
      </c>
      <c r="D149" s="23">
        <v>1</v>
      </c>
      <c r="E149" s="23" t="s">
        <v>3</v>
      </c>
      <c r="F149" s="456">
        <v>8980</v>
      </c>
      <c r="G149" s="106">
        <f t="shared" si="3"/>
        <v>8980</v>
      </c>
      <c r="H149" s="148" t="s">
        <v>1197</v>
      </c>
      <c r="I149" s="34"/>
      <c r="J149" s="102"/>
      <c r="K149" s="102"/>
      <c r="L149" s="102"/>
    </row>
    <row r="150" spans="1:12">
      <c r="A150" s="61" t="s">
        <v>1756</v>
      </c>
      <c r="B150" s="142" t="s">
        <v>1440</v>
      </c>
      <c r="C150" s="403" t="s">
        <v>1261</v>
      </c>
      <c r="D150" s="23">
        <v>1</v>
      </c>
      <c r="E150" s="23" t="s">
        <v>3</v>
      </c>
      <c r="F150" s="456">
        <v>4250</v>
      </c>
      <c r="G150" s="106">
        <f t="shared" si="3"/>
        <v>4250</v>
      </c>
      <c r="H150" s="148" t="s">
        <v>1197</v>
      </c>
      <c r="I150" s="34"/>
      <c r="J150" s="102"/>
      <c r="K150" s="102"/>
      <c r="L150" s="102"/>
    </row>
    <row r="151" spans="1:12">
      <c r="A151" s="61" t="s">
        <v>1757</v>
      </c>
      <c r="B151" s="142" t="s">
        <v>1440</v>
      </c>
      <c r="C151" s="403" t="s">
        <v>1193</v>
      </c>
      <c r="D151" s="23">
        <v>1</v>
      </c>
      <c r="E151" s="23" t="s">
        <v>3</v>
      </c>
      <c r="F151" s="456">
        <v>1600</v>
      </c>
      <c r="G151" s="106">
        <f t="shared" si="3"/>
        <v>1600</v>
      </c>
      <c r="H151" s="148" t="s">
        <v>1197</v>
      </c>
      <c r="I151" s="34"/>
      <c r="J151" s="102"/>
      <c r="K151" s="102"/>
      <c r="L151" s="102"/>
    </row>
    <row r="152" spans="1:12">
      <c r="A152" s="61" t="s">
        <v>1758</v>
      </c>
      <c r="B152" s="142" t="s">
        <v>1440</v>
      </c>
      <c r="C152" s="403" t="s">
        <v>1262</v>
      </c>
      <c r="D152" s="23">
        <v>1</v>
      </c>
      <c r="E152" s="23" t="s">
        <v>3</v>
      </c>
      <c r="F152" s="456">
        <v>57900</v>
      </c>
      <c r="G152" s="106">
        <f t="shared" si="3"/>
        <v>57900</v>
      </c>
      <c r="H152" s="148" t="s">
        <v>1197</v>
      </c>
      <c r="I152" s="34"/>
      <c r="J152" s="102"/>
      <c r="K152" s="102"/>
      <c r="L152" s="102"/>
    </row>
    <row r="153" spans="1:12">
      <c r="A153" s="61" t="s">
        <v>1759</v>
      </c>
      <c r="B153" s="142" t="s">
        <v>1440</v>
      </c>
      <c r="C153" s="403" t="s">
        <v>1194</v>
      </c>
      <c r="D153" s="23">
        <v>1</v>
      </c>
      <c r="E153" s="23" t="s">
        <v>3</v>
      </c>
      <c r="F153" s="456">
        <v>1230</v>
      </c>
      <c r="G153" s="106">
        <f t="shared" si="3"/>
        <v>1230</v>
      </c>
      <c r="H153" s="148" t="s">
        <v>1197</v>
      </c>
      <c r="I153" s="34"/>
      <c r="J153" s="102"/>
      <c r="K153" s="102"/>
      <c r="L153" s="102"/>
    </row>
    <row r="154" spans="1:12">
      <c r="A154" s="61"/>
      <c r="B154" s="98"/>
      <c r="I154" s="34"/>
      <c r="J154" s="102"/>
      <c r="K154" s="102"/>
      <c r="L154" s="102"/>
    </row>
    <row r="155" spans="1:12">
      <c r="A155" s="799" t="s">
        <v>182</v>
      </c>
      <c r="B155" s="799"/>
      <c r="C155" s="799"/>
      <c r="D155" s="799"/>
      <c r="E155" s="799"/>
      <c r="F155" s="799"/>
      <c r="G155" s="525">
        <f>ROUND(SUM(G4:G154),2)</f>
        <v>409564.09</v>
      </c>
      <c r="I155" s="34"/>
      <c r="J155" s="102"/>
      <c r="K155" s="102"/>
      <c r="L155" s="102"/>
    </row>
    <row r="156" spans="1:12">
      <c r="A156" s="799" t="s">
        <v>183</v>
      </c>
      <c r="B156" s="799"/>
      <c r="C156" s="799"/>
      <c r="D156" s="799"/>
      <c r="E156" s="799"/>
      <c r="F156" s="799"/>
      <c r="G156" s="526">
        <f>BDI!O14</f>
        <v>0.22391624455096393</v>
      </c>
      <c r="I156" s="34"/>
      <c r="J156" s="102"/>
      <c r="K156" s="102"/>
      <c r="L156" s="102"/>
    </row>
    <row r="157" spans="1:12">
      <c r="A157" s="799" t="s">
        <v>184</v>
      </c>
      <c r="B157" s="799"/>
      <c r="C157" s="799"/>
      <c r="D157" s="799"/>
      <c r="E157" s="799"/>
      <c r="F157" s="799"/>
      <c r="G157" s="525">
        <f>ROUND((G155+(G155*G156)),2)</f>
        <v>501272.14</v>
      </c>
      <c r="I157" s="34"/>
      <c r="J157" s="102"/>
      <c r="K157" s="102"/>
      <c r="L157" s="102"/>
    </row>
    <row r="158" spans="1:12">
      <c r="I158" s="34"/>
      <c r="J158" s="102"/>
      <c r="K158" s="102"/>
      <c r="L158" s="102"/>
    </row>
    <row r="159" spans="1:12">
      <c r="I159" s="34"/>
      <c r="J159" s="102"/>
      <c r="K159" s="102"/>
      <c r="L159" s="102"/>
    </row>
    <row r="160" spans="1:12">
      <c r="I160" s="34"/>
      <c r="J160" s="102"/>
      <c r="K160" s="102"/>
      <c r="L160" s="102"/>
    </row>
    <row r="161" spans="9:12">
      <c r="I161" s="34"/>
      <c r="J161" s="102"/>
      <c r="K161" s="102"/>
      <c r="L161" s="102"/>
    </row>
    <row r="162" spans="9:12">
      <c r="I162" s="34"/>
      <c r="J162" s="102"/>
      <c r="K162" s="102"/>
      <c r="L162" s="102"/>
    </row>
    <row r="163" spans="9:12">
      <c r="I163" s="34"/>
      <c r="J163" s="102"/>
      <c r="K163" s="102"/>
      <c r="L163" s="102"/>
    </row>
    <row r="164" spans="9:12">
      <c r="I164" s="34"/>
      <c r="J164" s="102"/>
      <c r="K164" s="102"/>
      <c r="L164" s="102"/>
    </row>
    <row r="165" spans="9:12">
      <c r="I165" s="34"/>
      <c r="J165" s="102"/>
      <c r="K165" s="102"/>
      <c r="L165" s="102"/>
    </row>
    <row r="166" spans="9:12">
      <c r="I166" s="34"/>
      <c r="J166" s="102"/>
      <c r="K166" s="102"/>
      <c r="L166" s="102"/>
    </row>
    <row r="167" spans="9:12">
      <c r="I167" s="34"/>
      <c r="J167" s="102"/>
      <c r="K167" s="102"/>
      <c r="L167" s="102"/>
    </row>
    <row r="168" spans="9:12">
      <c r="I168" s="34"/>
      <c r="J168" s="102"/>
      <c r="K168" s="102"/>
      <c r="L168" s="102"/>
    </row>
    <row r="169" spans="9:12">
      <c r="I169" s="34"/>
      <c r="J169" s="102"/>
      <c r="K169" s="102"/>
      <c r="L169" s="102"/>
    </row>
    <row r="170" spans="9:12">
      <c r="I170" s="34"/>
      <c r="J170" s="102"/>
      <c r="K170" s="102"/>
      <c r="L170" s="102"/>
    </row>
    <row r="171" spans="9:12">
      <c r="I171" s="34"/>
      <c r="J171" s="102"/>
      <c r="K171" s="102"/>
      <c r="L171" s="102"/>
    </row>
    <row r="172" spans="9:12">
      <c r="I172" s="34"/>
      <c r="J172" s="102"/>
      <c r="K172" s="102"/>
      <c r="L172" s="102"/>
    </row>
    <row r="173" spans="9:12">
      <c r="I173" s="34"/>
      <c r="J173" s="102"/>
      <c r="K173" s="102"/>
      <c r="L173" s="102"/>
    </row>
    <row r="174" spans="9:12">
      <c r="I174" s="34"/>
      <c r="J174" s="102"/>
      <c r="K174" s="102"/>
      <c r="L174" s="102"/>
    </row>
    <row r="175" spans="9:12">
      <c r="J175" s="20"/>
      <c r="K175" s="102"/>
      <c r="L175" s="102"/>
    </row>
  </sheetData>
  <mergeCells count="6">
    <mergeCell ref="A156:F156"/>
    <mergeCell ref="A157:F157"/>
    <mergeCell ref="A1:H1"/>
    <mergeCell ref="A2:H2"/>
    <mergeCell ref="J2:L2"/>
    <mergeCell ref="A155:F155"/>
  </mergeCells>
  <phoneticPr fontId="15" type="noConversion"/>
  <pageMargins left="0.511811024" right="0.511811024" top="0.78740157499999996" bottom="0.78740157499999996" header="0.31496062000000002" footer="0.31496062000000002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6C4A-DEC1-47EB-AC86-763ECA28FDD0}">
  <sheetPr>
    <tabColor theme="7" tint="0.59999389629810485"/>
    <pageSetUpPr fitToPage="1"/>
  </sheetPr>
  <dimension ref="A1:P31"/>
  <sheetViews>
    <sheetView zoomScale="85" zoomScaleNormal="85" workbookViewId="0">
      <selection activeCell="C40" sqref="C40"/>
    </sheetView>
  </sheetViews>
  <sheetFormatPr defaultRowHeight="16.5"/>
  <cols>
    <col min="1" max="1" width="15.28515625" style="9" customWidth="1"/>
    <col min="2" max="2" width="15" style="99" customWidth="1"/>
    <col min="3" max="3" width="73" style="100" customWidth="1"/>
    <col min="4" max="4" width="9.140625" style="101" customWidth="1"/>
    <col min="5" max="5" width="10.140625" style="9" customWidth="1"/>
    <col min="6" max="6" width="14.85546875" style="458" bestFit="1" customWidth="1"/>
    <col min="7" max="7" width="16.5703125" style="459" customWidth="1"/>
    <col min="8" max="8" width="25.140625" style="102" bestFit="1" customWidth="1"/>
    <col min="9" max="9" width="5" style="15" customWidth="1"/>
    <col min="10" max="10" width="15.85546875" style="15" customWidth="1"/>
    <col min="11" max="11" width="15.28515625" style="34" customWidth="1"/>
    <col min="12" max="12" width="14.28515625" style="34" customWidth="1"/>
    <col min="13" max="13" width="11.28515625" style="34" customWidth="1"/>
    <col min="14" max="14" width="10.5703125" style="15" customWidth="1"/>
    <col min="15" max="247" width="9.140625" style="15"/>
    <col min="248" max="248" width="15.28515625" style="15" customWidth="1"/>
    <col min="249" max="249" width="10.140625" style="15" customWidth="1"/>
    <col min="250" max="250" width="7.28515625" style="15" customWidth="1"/>
    <col min="251" max="251" width="68.7109375" style="15" customWidth="1"/>
    <col min="252" max="252" width="15" style="15" customWidth="1"/>
    <col min="253" max="253" width="14.140625" style="15" bestFit="1" customWidth="1"/>
    <col min="254" max="254" width="16.5703125" style="15" customWidth="1"/>
    <col min="255" max="256" width="9.140625" style="15"/>
    <col min="257" max="257" width="8.7109375" style="15" customWidth="1"/>
    <col min="258" max="503" width="9.140625" style="15"/>
    <col min="504" max="504" width="15.28515625" style="15" customWidth="1"/>
    <col min="505" max="505" width="10.140625" style="15" customWidth="1"/>
    <col min="506" max="506" width="7.28515625" style="15" customWidth="1"/>
    <col min="507" max="507" width="68.7109375" style="15" customWidth="1"/>
    <col min="508" max="508" width="15" style="15" customWidth="1"/>
    <col min="509" max="509" width="14.140625" style="15" bestFit="1" customWidth="1"/>
    <col min="510" max="510" width="16.5703125" style="15" customWidth="1"/>
    <col min="511" max="512" width="9.140625" style="15"/>
    <col min="513" max="513" width="8.7109375" style="15" customWidth="1"/>
    <col min="514" max="759" width="9.140625" style="15"/>
    <col min="760" max="760" width="15.28515625" style="15" customWidth="1"/>
    <col min="761" max="761" width="10.140625" style="15" customWidth="1"/>
    <col min="762" max="762" width="7.28515625" style="15" customWidth="1"/>
    <col min="763" max="763" width="68.7109375" style="15" customWidth="1"/>
    <col min="764" max="764" width="15" style="15" customWidth="1"/>
    <col min="765" max="765" width="14.140625" style="15" bestFit="1" customWidth="1"/>
    <col min="766" max="766" width="16.5703125" style="15" customWidth="1"/>
    <col min="767" max="768" width="9.140625" style="15"/>
    <col min="769" max="769" width="8.7109375" style="15" customWidth="1"/>
    <col min="770" max="1015" width="9.140625" style="15"/>
    <col min="1016" max="1016" width="15.28515625" style="15" customWidth="1"/>
    <col min="1017" max="1017" width="10.140625" style="15" customWidth="1"/>
    <col min="1018" max="1018" width="7.28515625" style="15" customWidth="1"/>
    <col min="1019" max="1019" width="68.7109375" style="15" customWidth="1"/>
    <col min="1020" max="1020" width="15" style="15" customWidth="1"/>
    <col min="1021" max="1021" width="14.140625" style="15" bestFit="1" customWidth="1"/>
    <col min="1022" max="1022" width="16.5703125" style="15" customWidth="1"/>
    <col min="1023" max="1024" width="9.140625" style="15"/>
    <col min="1025" max="1025" width="8.7109375" style="15" customWidth="1"/>
    <col min="1026" max="1271" width="9.140625" style="15"/>
    <col min="1272" max="1272" width="15.28515625" style="15" customWidth="1"/>
    <col min="1273" max="1273" width="10.140625" style="15" customWidth="1"/>
    <col min="1274" max="1274" width="7.28515625" style="15" customWidth="1"/>
    <col min="1275" max="1275" width="68.7109375" style="15" customWidth="1"/>
    <col min="1276" max="1276" width="15" style="15" customWidth="1"/>
    <col min="1277" max="1277" width="14.140625" style="15" bestFit="1" customWidth="1"/>
    <col min="1278" max="1278" width="16.5703125" style="15" customWidth="1"/>
    <col min="1279" max="1280" width="9.140625" style="15"/>
    <col min="1281" max="1281" width="8.7109375" style="15" customWidth="1"/>
    <col min="1282" max="1527" width="9.140625" style="15"/>
    <col min="1528" max="1528" width="15.28515625" style="15" customWidth="1"/>
    <col min="1529" max="1529" width="10.140625" style="15" customWidth="1"/>
    <col min="1530" max="1530" width="7.28515625" style="15" customWidth="1"/>
    <col min="1531" max="1531" width="68.7109375" style="15" customWidth="1"/>
    <col min="1532" max="1532" width="15" style="15" customWidth="1"/>
    <col min="1533" max="1533" width="14.140625" style="15" bestFit="1" customWidth="1"/>
    <col min="1534" max="1534" width="16.5703125" style="15" customWidth="1"/>
    <col min="1535" max="1536" width="9.140625" style="15"/>
    <col min="1537" max="1537" width="8.7109375" style="15" customWidth="1"/>
    <col min="1538" max="1783" width="9.140625" style="15"/>
    <col min="1784" max="1784" width="15.28515625" style="15" customWidth="1"/>
    <col min="1785" max="1785" width="10.140625" style="15" customWidth="1"/>
    <col min="1786" max="1786" width="7.28515625" style="15" customWidth="1"/>
    <col min="1787" max="1787" width="68.7109375" style="15" customWidth="1"/>
    <col min="1788" max="1788" width="15" style="15" customWidth="1"/>
    <col min="1789" max="1789" width="14.140625" style="15" bestFit="1" customWidth="1"/>
    <col min="1790" max="1790" width="16.5703125" style="15" customWidth="1"/>
    <col min="1791" max="1792" width="9.140625" style="15"/>
    <col min="1793" max="1793" width="8.7109375" style="15" customWidth="1"/>
    <col min="1794" max="2039" width="9.140625" style="15"/>
    <col min="2040" max="2040" width="15.28515625" style="15" customWidth="1"/>
    <col min="2041" max="2041" width="10.140625" style="15" customWidth="1"/>
    <col min="2042" max="2042" width="7.28515625" style="15" customWidth="1"/>
    <col min="2043" max="2043" width="68.7109375" style="15" customWidth="1"/>
    <col min="2044" max="2044" width="15" style="15" customWidth="1"/>
    <col min="2045" max="2045" width="14.140625" style="15" bestFit="1" customWidth="1"/>
    <col min="2046" max="2046" width="16.5703125" style="15" customWidth="1"/>
    <col min="2047" max="2048" width="9.140625" style="15"/>
    <col min="2049" max="2049" width="8.7109375" style="15" customWidth="1"/>
    <col min="2050" max="2295" width="9.140625" style="15"/>
    <col min="2296" max="2296" width="15.28515625" style="15" customWidth="1"/>
    <col min="2297" max="2297" width="10.140625" style="15" customWidth="1"/>
    <col min="2298" max="2298" width="7.28515625" style="15" customWidth="1"/>
    <col min="2299" max="2299" width="68.7109375" style="15" customWidth="1"/>
    <col min="2300" max="2300" width="15" style="15" customWidth="1"/>
    <col min="2301" max="2301" width="14.140625" style="15" bestFit="1" customWidth="1"/>
    <col min="2302" max="2302" width="16.5703125" style="15" customWidth="1"/>
    <col min="2303" max="2304" width="9.140625" style="15"/>
    <col min="2305" max="2305" width="8.7109375" style="15" customWidth="1"/>
    <col min="2306" max="2551" width="9.140625" style="15"/>
    <col min="2552" max="2552" width="15.28515625" style="15" customWidth="1"/>
    <col min="2553" max="2553" width="10.140625" style="15" customWidth="1"/>
    <col min="2554" max="2554" width="7.28515625" style="15" customWidth="1"/>
    <col min="2555" max="2555" width="68.7109375" style="15" customWidth="1"/>
    <col min="2556" max="2556" width="15" style="15" customWidth="1"/>
    <col min="2557" max="2557" width="14.140625" style="15" bestFit="1" customWidth="1"/>
    <col min="2558" max="2558" width="16.5703125" style="15" customWidth="1"/>
    <col min="2559" max="2560" width="9.140625" style="15"/>
    <col min="2561" max="2561" width="8.7109375" style="15" customWidth="1"/>
    <col min="2562" max="2807" width="9.140625" style="15"/>
    <col min="2808" max="2808" width="15.28515625" style="15" customWidth="1"/>
    <col min="2809" max="2809" width="10.140625" style="15" customWidth="1"/>
    <col min="2810" max="2810" width="7.28515625" style="15" customWidth="1"/>
    <col min="2811" max="2811" width="68.7109375" style="15" customWidth="1"/>
    <col min="2812" max="2812" width="15" style="15" customWidth="1"/>
    <col min="2813" max="2813" width="14.140625" style="15" bestFit="1" customWidth="1"/>
    <col min="2814" max="2814" width="16.5703125" style="15" customWidth="1"/>
    <col min="2815" max="2816" width="9.140625" style="15"/>
    <col min="2817" max="2817" width="8.7109375" style="15" customWidth="1"/>
    <col min="2818" max="3063" width="9.140625" style="15"/>
    <col min="3064" max="3064" width="15.28515625" style="15" customWidth="1"/>
    <col min="3065" max="3065" width="10.140625" style="15" customWidth="1"/>
    <col min="3066" max="3066" width="7.28515625" style="15" customWidth="1"/>
    <col min="3067" max="3067" width="68.7109375" style="15" customWidth="1"/>
    <col min="3068" max="3068" width="15" style="15" customWidth="1"/>
    <col min="3069" max="3069" width="14.140625" style="15" bestFit="1" customWidth="1"/>
    <col min="3070" max="3070" width="16.5703125" style="15" customWidth="1"/>
    <col min="3071" max="3072" width="9.140625" style="15"/>
    <col min="3073" max="3073" width="8.7109375" style="15" customWidth="1"/>
    <col min="3074" max="3319" width="9.140625" style="15"/>
    <col min="3320" max="3320" width="15.28515625" style="15" customWidth="1"/>
    <col min="3321" max="3321" width="10.140625" style="15" customWidth="1"/>
    <col min="3322" max="3322" width="7.28515625" style="15" customWidth="1"/>
    <col min="3323" max="3323" width="68.7109375" style="15" customWidth="1"/>
    <col min="3324" max="3324" width="15" style="15" customWidth="1"/>
    <col min="3325" max="3325" width="14.140625" style="15" bestFit="1" customWidth="1"/>
    <col min="3326" max="3326" width="16.5703125" style="15" customWidth="1"/>
    <col min="3327" max="3328" width="9.140625" style="15"/>
    <col min="3329" max="3329" width="8.7109375" style="15" customWidth="1"/>
    <col min="3330" max="3575" width="9.140625" style="15"/>
    <col min="3576" max="3576" width="15.28515625" style="15" customWidth="1"/>
    <col min="3577" max="3577" width="10.140625" style="15" customWidth="1"/>
    <col min="3578" max="3578" width="7.28515625" style="15" customWidth="1"/>
    <col min="3579" max="3579" width="68.7109375" style="15" customWidth="1"/>
    <col min="3580" max="3580" width="15" style="15" customWidth="1"/>
    <col min="3581" max="3581" width="14.140625" style="15" bestFit="1" customWidth="1"/>
    <col min="3582" max="3582" width="16.5703125" style="15" customWidth="1"/>
    <col min="3583" max="3584" width="9.140625" style="15"/>
    <col min="3585" max="3585" width="8.7109375" style="15" customWidth="1"/>
    <col min="3586" max="3831" width="9.140625" style="15"/>
    <col min="3832" max="3832" width="15.28515625" style="15" customWidth="1"/>
    <col min="3833" max="3833" width="10.140625" style="15" customWidth="1"/>
    <col min="3834" max="3834" width="7.28515625" style="15" customWidth="1"/>
    <col min="3835" max="3835" width="68.7109375" style="15" customWidth="1"/>
    <col min="3836" max="3836" width="15" style="15" customWidth="1"/>
    <col min="3837" max="3837" width="14.140625" style="15" bestFit="1" customWidth="1"/>
    <col min="3838" max="3838" width="16.5703125" style="15" customWidth="1"/>
    <col min="3839" max="3840" width="9.140625" style="15"/>
    <col min="3841" max="3841" width="8.7109375" style="15" customWidth="1"/>
    <col min="3842" max="4087" width="9.140625" style="15"/>
    <col min="4088" max="4088" width="15.28515625" style="15" customWidth="1"/>
    <col min="4089" max="4089" width="10.140625" style="15" customWidth="1"/>
    <col min="4090" max="4090" width="7.28515625" style="15" customWidth="1"/>
    <col min="4091" max="4091" width="68.7109375" style="15" customWidth="1"/>
    <col min="4092" max="4092" width="15" style="15" customWidth="1"/>
    <col min="4093" max="4093" width="14.140625" style="15" bestFit="1" customWidth="1"/>
    <col min="4094" max="4094" width="16.5703125" style="15" customWidth="1"/>
    <col min="4095" max="4096" width="9.140625" style="15"/>
    <col min="4097" max="4097" width="8.7109375" style="15" customWidth="1"/>
    <col min="4098" max="4343" width="9.140625" style="15"/>
    <col min="4344" max="4344" width="15.28515625" style="15" customWidth="1"/>
    <col min="4345" max="4345" width="10.140625" style="15" customWidth="1"/>
    <col min="4346" max="4346" width="7.28515625" style="15" customWidth="1"/>
    <col min="4347" max="4347" width="68.7109375" style="15" customWidth="1"/>
    <col min="4348" max="4348" width="15" style="15" customWidth="1"/>
    <col min="4349" max="4349" width="14.140625" style="15" bestFit="1" customWidth="1"/>
    <col min="4350" max="4350" width="16.5703125" style="15" customWidth="1"/>
    <col min="4351" max="4352" width="9.140625" style="15"/>
    <col min="4353" max="4353" width="8.7109375" style="15" customWidth="1"/>
    <col min="4354" max="4599" width="9.140625" style="15"/>
    <col min="4600" max="4600" width="15.28515625" style="15" customWidth="1"/>
    <col min="4601" max="4601" width="10.140625" style="15" customWidth="1"/>
    <col min="4602" max="4602" width="7.28515625" style="15" customWidth="1"/>
    <col min="4603" max="4603" width="68.7109375" style="15" customWidth="1"/>
    <col min="4604" max="4604" width="15" style="15" customWidth="1"/>
    <col min="4605" max="4605" width="14.140625" style="15" bestFit="1" customWidth="1"/>
    <col min="4606" max="4606" width="16.5703125" style="15" customWidth="1"/>
    <col min="4607" max="4608" width="9.140625" style="15"/>
    <col min="4609" max="4609" width="8.7109375" style="15" customWidth="1"/>
    <col min="4610" max="4855" width="9.140625" style="15"/>
    <col min="4856" max="4856" width="15.28515625" style="15" customWidth="1"/>
    <col min="4857" max="4857" width="10.140625" style="15" customWidth="1"/>
    <col min="4858" max="4858" width="7.28515625" style="15" customWidth="1"/>
    <col min="4859" max="4859" width="68.7109375" style="15" customWidth="1"/>
    <col min="4860" max="4860" width="15" style="15" customWidth="1"/>
    <col min="4861" max="4861" width="14.140625" style="15" bestFit="1" customWidth="1"/>
    <col min="4862" max="4862" width="16.5703125" style="15" customWidth="1"/>
    <col min="4863" max="4864" width="9.140625" style="15"/>
    <col min="4865" max="4865" width="8.7109375" style="15" customWidth="1"/>
    <col min="4866" max="5111" width="9.140625" style="15"/>
    <col min="5112" max="5112" width="15.28515625" style="15" customWidth="1"/>
    <col min="5113" max="5113" width="10.140625" style="15" customWidth="1"/>
    <col min="5114" max="5114" width="7.28515625" style="15" customWidth="1"/>
    <col min="5115" max="5115" width="68.7109375" style="15" customWidth="1"/>
    <col min="5116" max="5116" width="15" style="15" customWidth="1"/>
    <col min="5117" max="5117" width="14.140625" style="15" bestFit="1" customWidth="1"/>
    <col min="5118" max="5118" width="16.5703125" style="15" customWidth="1"/>
    <col min="5119" max="5120" width="9.140625" style="15"/>
    <col min="5121" max="5121" width="8.7109375" style="15" customWidth="1"/>
    <col min="5122" max="5367" width="9.140625" style="15"/>
    <col min="5368" max="5368" width="15.28515625" style="15" customWidth="1"/>
    <col min="5369" max="5369" width="10.140625" style="15" customWidth="1"/>
    <col min="5370" max="5370" width="7.28515625" style="15" customWidth="1"/>
    <col min="5371" max="5371" width="68.7109375" style="15" customWidth="1"/>
    <col min="5372" max="5372" width="15" style="15" customWidth="1"/>
    <col min="5373" max="5373" width="14.140625" style="15" bestFit="1" customWidth="1"/>
    <col min="5374" max="5374" width="16.5703125" style="15" customWidth="1"/>
    <col min="5375" max="5376" width="9.140625" style="15"/>
    <col min="5377" max="5377" width="8.7109375" style="15" customWidth="1"/>
    <col min="5378" max="5623" width="9.140625" style="15"/>
    <col min="5624" max="5624" width="15.28515625" style="15" customWidth="1"/>
    <col min="5625" max="5625" width="10.140625" style="15" customWidth="1"/>
    <col min="5626" max="5626" width="7.28515625" style="15" customWidth="1"/>
    <col min="5627" max="5627" width="68.7109375" style="15" customWidth="1"/>
    <col min="5628" max="5628" width="15" style="15" customWidth="1"/>
    <col min="5629" max="5629" width="14.140625" style="15" bestFit="1" customWidth="1"/>
    <col min="5630" max="5630" width="16.5703125" style="15" customWidth="1"/>
    <col min="5631" max="5632" width="9.140625" style="15"/>
    <col min="5633" max="5633" width="8.7109375" style="15" customWidth="1"/>
    <col min="5634" max="5879" width="9.140625" style="15"/>
    <col min="5880" max="5880" width="15.28515625" style="15" customWidth="1"/>
    <col min="5881" max="5881" width="10.140625" style="15" customWidth="1"/>
    <col min="5882" max="5882" width="7.28515625" style="15" customWidth="1"/>
    <col min="5883" max="5883" width="68.7109375" style="15" customWidth="1"/>
    <col min="5884" max="5884" width="15" style="15" customWidth="1"/>
    <col min="5885" max="5885" width="14.140625" style="15" bestFit="1" customWidth="1"/>
    <col min="5886" max="5886" width="16.5703125" style="15" customWidth="1"/>
    <col min="5887" max="5888" width="9.140625" style="15"/>
    <col min="5889" max="5889" width="8.7109375" style="15" customWidth="1"/>
    <col min="5890" max="6135" width="9.140625" style="15"/>
    <col min="6136" max="6136" width="15.28515625" style="15" customWidth="1"/>
    <col min="6137" max="6137" width="10.140625" style="15" customWidth="1"/>
    <col min="6138" max="6138" width="7.28515625" style="15" customWidth="1"/>
    <col min="6139" max="6139" width="68.7109375" style="15" customWidth="1"/>
    <col min="6140" max="6140" width="15" style="15" customWidth="1"/>
    <col min="6141" max="6141" width="14.140625" style="15" bestFit="1" customWidth="1"/>
    <col min="6142" max="6142" width="16.5703125" style="15" customWidth="1"/>
    <col min="6143" max="6144" width="9.140625" style="15"/>
    <col min="6145" max="6145" width="8.7109375" style="15" customWidth="1"/>
    <col min="6146" max="6391" width="9.140625" style="15"/>
    <col min="6392" max="6392" width="15.28515625" style="15" customWidth="1"/>
    <col min="6393" max="6393" width="10.140625" style="15" customWidth="1"/>
    <col min="6394" max="6394" width="7.28515625" style="15" customWidth="1"/>
    <col min="6395" max="6395" width="68.7109375" style="15" customWidth="1"/>
    <col min="6396" max="6396" width="15" style="15" customWidth="1"/>
    <col min="6397" max="6397" width="14.140625" style="15" bestFit="1" customWidth="1"/>
    <col min="6398" max="6398" width="16.5703125" style="15" customWidth="1"/>
    <col min="6399" max="6400" width="9.140625" style="15"/>
    <col min="6401" max="6401" width="8.7109375" style="15" customWidth="1"/>
    <col min="6402" max="6647" width="9.140625" style="15"/>
    <col min="6648" max="6648" width="15.28515625" style="15" customWidth="1"/>
    <col min="6649" max="6649" width="10.140625" style="15" customWidth="1"/>
    <col min="6650" max="6650" width="7.28515625" style="15" customWidth="1"/>
    <col min="6651" max="6651" width="68.7109375" style="15" customWidth="1"/>
    <col min="6652" max="6652" width="15" style="15" customWidth="1"/>
    <col min="6653" max="6653" width="14.140625" style="15" bestFit="1" customWidth="1"/>
    <col min="6654" max="6654" width="16.5703125" style="15" customWidth="1"/>
    <col min="6655" max="6656" width="9.140625" style="15"/>
    <col min="6657" max="6657" width="8.7109375" style="15" customWidth="1"/>
    <col min="6658" max="6903" width="9.140625" style="15"/>
    <col min="6904" max="6904" width="15.28515625" style="15" customWidth="1"/>
    <col min="6905" max="6905" width="10.140625" style="15" customWidth="1"/>
    <col min="6906" max="6906" width="7.28515625" style="15" customWidth="1"/>
    <col min="6907" max="6907" width="68.7109375" style="15" customWidth="1"/>
    <col min="6908" max="6908" width="15" style="15" customWidth="1"/>
    <col min="6909" max="6909" width="14.140625" style="15" bestFit="1" customWidth="1"/>
    <col min="6910" max="6910" width="16.5703125" style="15" customWidth="1"/>
    <col min="6911" max="6912" width="9.140625" style="15"/>
    <col min="6913" max="6913" width="8.7109375" style="15" customWidth="1"/>
    <col min="6914" max="7159" width="9.140625" style="15"/>
    <col min="7160" max="7160" width="15.28515625" style="15" customWidth="1"/>
    <col min="7161" max="7161" width="10.140625" style="15" customWidth="1"/>
    <col min="7162" max="7162" width="7.28515625" style="15" customWidth="1"/>
    <col min="7163" max="7163" width="68.7109375" style="15" customWidth="1"/>
    <col min="7164" max="7164" width="15" style="15" customWidth="1"/>
    <col min="7165" max="7165" width="14.140625" style="15" bestFit="1" customWidth="1"/>
    <col min="7166" max="7166" width="16.5703125" style="15" customWidth="1"/>
    <col min="7167" max="7168" width="9.140625" style="15"/>
    <col min="7169" max="7169" width="8.7109375" style="15" customWidth="1"/>
    <col min="7170" max="7415" width="9.140625" style="15"/>
    <col min="7416" max="7416" width="15.28515625" style="15" customWidth="1"/>
    <col min="7417" max="7417" width="10.140625" style="15" customWidth="1"/>
    <col min="7418" max="7418" width="7.28515625" style="15" customWidth="1"/>
    <col min="7419" max="7419" width="68.7109375" style="15" customWidth="1"/>
    <col min="7420" max="7420" width="15" style="15" customWidth="1"/>
    <col min="7421" max="7421" width="14.140625" style="15" bestFit="1" customWidth="1"/>
    <col min="7422" max="7422" width="16.5703125" style="15" customWidth="1"/>
    <col min="7423" max="7424" width="9.140625" style="15"/>
    <col min="7425" max="7425" width="8.7109375" style="15" customWidth="1"/>
    <col min="7426" max="7671" width="9.140625" style="15"/>
    <col min="7672" max="7672" width="15.28515625" style="15" customWidth="1"/>
    <col min="7673" max="7673" width="10.140625" style="15" customWidth="1"/>
    <col min="7674" max="7674" width="7.28515625" style="15" customWidth="1"/>
    <col min="7675" max="7675" width="68.7109375" style="15" customWidth="1"/>
    <col min="7676" max="7676" width="15" style="15" customWidth="1"/>
    <col min="7677" max="7677" width="14.140625" style="15" bestFit="1" customWidth="1"/>
    <col min="7678" max="7678" width="16.5703125" style="15" customWidth="1"/>
    <col min="7679" max="7680" width="9.140625" style="15"/>
    <col min="7681" max="7681" width="8.7109375" style="15" customWidth="1"/>
    <col min="7682" max="7927" width="9.140625" style="15"/>
    <col min="7928" max="7928" width="15.28515625" style="15" customWidth="1"/>
    <col min="7929" max="7929" width="10.140625" style="15" customWidth="1"/>
    <col min="7930" max="7930" width="7.28515625" style="15" customWidth="1"/>
    <col min="7931" max="7931" width="68.7109375" style="15" customWidth="1"/>
    <col min="7932" max="7932" width="15" style="15" customWidth="1"/>
    <col min="7933" max="7933" width="14.140625" style="15" bestFit="1" customWidth="1"/>
    <col min="7934" max="7934" width="16.5703125" style="15" customWidth="1"/>
    <col min="7935" max="7936" width="9.140625" style="15"/>
    <col min="7937" max="7937" width="8.7109375" style="15" customWidth="1"/>
    <col min="7938" max="8183" width="9.140625" style="15"/>
    <col min="8184" max="8184" width="15.28515625" style="15" customWidth="1"/>
    <col min="8185" max="8185" width="10.140625" style="15" customWidth="1"/>
    <col min="8186" max="8186" width="7.28515625" style="15" customWidth="1"/>
    <col min="8187" max="8187" width="68.7109375" style="15" customWidth="1"/>
    <col min="8188" max="8188" width="15" style="15" customWidth="1"/>
    <col min="8189" max="8189" width="14.140625" style="15" bestFit="1" customWidth="1"/>
    <col min="8190" max="8190" width="16.5703125" style="15" customWidth="1"/>
    <col min="8191" max="8192" width="9.140625" style="15"/>
    <col min="8193" max="8193" width="8.7109375" style="15" customWidth="1"/>
    <col min="8194" max="8439" width="9.140625" style="15"/>
    <col min="8440" max="8440" width="15.28515625" style="15" customWidth="1"/>
    <col min="8441" max="8441" width="10.140625" style="15" customWidth="1"/>
    <col min="8442" max="8442" width="7.28515625" style="15" customWidth="1"/>
    <col min="8443" max="8443" width="68.7109375" style="15" customWidth="1"/>
    <col min="8444" max="8444" width="15" style="15" customWidth="1"/>
    <col min="8445" max="8445" width="14.140625" style="15" bestFit="1" customWidth="1"/>
    <col min="8446" max="8446" width="16.5703125" style="15" customWidth="1"/>
    <col min="8447" max="8448" width="9.140625" style="15"/>
    <col min="8449" max="8449" width="8.7109375" style="15" customWidth="1"/>
    <col min="8450" max="8695" width="9.140625" style="15"/>
    <col min="8696" max="8696" width="15.28515625" style="15" customWidth="1"/>
    <col min="8697" max="8697" width="10.140625" style="15" customWidth="1"/>
    <col min="8698" max="8698" width="7.28515625" style="15" customWidth="1"/>
    <col min="8699" max="8699" width="68.7109375" style="15" customWidth="1"/>
    <col min="8700" max="8700" width="15" style="15" customWidth="1"/>
    <col min="8701" max="8701" width="14.140625" style="15" bestFit="1" customWidth="1"/>
    <col min="8702" max="8702" width="16.5703125" style="15" customWidth="1"/>
    <col min="8703" max="8704" width="9.140625" style="15"/>
    <col min="8705" max="8705" width="8.7109375" style="15" customWidth="1"/>
    <col min="8706" max="8951" width="9.140625" style="15"/>
    <col min="8952" max="8952" width="15.28515625" style="15" customWidth="1"/>
    <col min="8953" max="8953" width="10.140625" style="15" customWidth="1"/>
    <col min="8954" max="8954" width="7.28515625" style="15" customWidth="1"/>
    <col min="8955" max="8955" width="68.7109375" style="15" customWidth="1"/>
    <col min="8956" max="8956" width="15" style="15" customWidth="1"/>
    <col min="8957" max="8957" width="14.140625" style="15" bestFit="1" customWidth="1"/>
    <col min="8958" max="8958" width="16.5703125" style="15" customWidth="1"/>
    <col min="8959" max="8960" width="9.140625" style="15"/>
    <col min="8961" max="8961" width="8.7109375" style="15" customWidth="1"/>
    <col min="8962" max="9207" width="9.140625" style="15"/>
    <col min="9208" max="9208" width="15.28515625" style="15" customWidth="1"/>
    <col min="9209" max="9209" width="10.140625" style="15" customWidth="1"/>
    <col min="9210" max="9210" width="7.28515625" style="15" customWidth="1"/>
    <col min="9211" max="9211" width="68.7109375" style="15" customWidth="1"/>
    <col min="9212" max="9212" width="15" style="15" customWidth="1"/>
    <col min="9213" max="9213" width="14.140625" style="15" bestFit="1" customWidth="1"/>
    <col min="9214" max="9214" width="16.5703125" style="15" customWidth="1"/>
    <col min="9215" max="9216" width="9.140625" style="15"/>
    <col min="9217" max="9217" width="8.7109375" style="15" customWidth="1"/>
    <col min="9218" max="9463" width="9.140625" style="15"/>
    <col min="9464" max="9464" width="15.28515625" style="15" customWidth="1"/>
    <col min="9465" max="9465" width="10.140625" style="15" customWidth="1"/>
    <col min="9466" max="9466" width="7.28515625" style="15" customWidth="1"/>
    <col min="9467" max="9467" width="68.7109375" style="15" customWidth="1"/>
    <col min="9468" max="9468" width="15" style="15" customWidth="1"/>
    <col min="9469" max="9469" width="14.140625" style="15" bestFit="1" customWidth="1"/>
    <col min="9470" max="9470" width="16.5703125" style="15" customWidth="1"/>
    <col min="9471" max="9472" width="9.140625" style="15"/>
    <col min="9473" max="9473" width="8.7109375" style="15" customWidth="1"/>
    <col min="9474" max="9719" width="9.140625" style="15"/>
    <col min="9720" max="9720" width="15.28515625" style="15" customWidth="1"/>
    <col min="9721" max="9721" width="10.140625" style="15" customWidth="1"/>
    <col min="9722" max="9722" width="7.28515625" style="15" customWidth="1"/>
    <col min="9723" max="9723" width="68.7109375" style="15" customWidth="1"/>
    <col min="9724" max="9724" width="15" style="15" customWidth="1"/>
    <col min="9725" max="9725" width="14.140625" style="15" bestFit="1" customWidth="1"/>
    <col min="9726" max="9726" width="16.5703125" style="15" customWidth="1"/>
    <col min="9727" max="9728" width="9.140625" style="15"/>
    <col min="9729" max="9729" width="8.7109375" style="15" customWidth="1"/>
    <col min="9730" max="9975" width="9.140625" style="15"/>
    <col min="9976" max="9976" width="15.28515625" style="15" customWidth="1"/>
    <col min="9977" max="9977" width="10.140625" style="15" customWidth="1"/>
    <col min="9978" max="9978" width="7.28515625" style="15" customWidth="1"/>
    <col min="9979" max="9979" width="68.7109375" style="15" customWidth="1"/>
    <col min="9980" max="9980" width="15" style="15" customWidth="1"/>
    <col min="9981" max="9981" width="14.140625" style="15" bestFit="1" customWidth="1"/>
    <col min="9982" max="9982" width="16.5703125" style="15" customWidth="1"/>
    <col min="9983" max="9984" width="9.140625" style="15"/>
    <col min="9985" max="9985" width="8.7109375" style="15" customWidth="1"/>
    <col min="9986" max="10231" width="9.140625" style="15"/>
    <col min="10232" max="10232" width="15.28515625" style="15" customWidth="1"/>
    <col min="10233" max="10233" width="10.140625" style="15" customWidth="1"/>
    <col min="10234" max="10234" width="7.28515625" style="15" customWidth="1"/>
    <col min="10235" max="10235" width="68.7109375" style="15" customWidth="1"/>
    <col min="10236" max="10236" width="15" style="15" customWidth="1"/>
    <col min="10237" max="10237" width="14.140625" style="15" bestFit="1" customWidth="1"/>
    <col min="10238" max="10238" width="16.5703125" style="15" customWidth="1"/>
    <col min="10239" max="10240" width="9.140625" style="15"/>
    <col min="10241" max="10241" width="8.7109375" style="15" customWidth="1"/>
    <col min="10242" max="10487" width="9.140625" style="15"/>
    <col min="10488" max="10488" width="15.28515625" style="15" customWidth="1"/>
    <col min="10489" max="10489" width="10.140625" style="15" customWidth="1"/>
    <col min="10490" max="10490" width="7.28515625" style="15" customWidth="1"/>
    <col min="10491" max="10491" width="68.7109375" style="15" customWidth="1"/>
    <col min="10492" max="10492" width="15" style="15" customWidth="1"/>
    <col min="10493" max="10493" width="14.140625" style="15" bestFit="1" customWidth="1"/>
    <col min="10494" max="10494" width="16.5703125" style="15" customWidth="1"/>
    <col min="10495" max="10496" width="9.140625" style="15"/>
    <col min="10497" max="10497" width="8.7109375" style="15" customWidth="1"/>
    <col min="10498" max="10743" width="9.140625" style="15"/>
    <col min="10744" max="10744" width="15.28515625" style="15" customWidth="1"/>
    <col min="10745" max="10745" width="10.140625" style="15" customWidth="1"/>
    <col min="10746" max="10746" width="7.28515625" style="15" customWidth="1"/>
    <col min="10747" max="10747" width="68.7109375" style="15" customWidth="1"/>
    <col min="10748" max="10748" width="15" style="15" customWidth="1"/>
    <col min="10749" max="10749" width="14.140625" style="15" bestFit="1" customWidth="1"/>
    <col min="10750" max="10750" width="16.5703125" style="15" customWidth="1"/>
    <col min="10751" max="10752" width="9.140625" style="15"/>
    <col min="10753" max="10753" width="8.7109375" style="15" customWidth="1"/>
    <col min="10754" max="10999" width="9.140625" style="15"/>
    <col min="11000" max="11000" width="15.28515625" style="15" customWidth="1"/>
    <col min="11001" max="11001" width="10.140625" style="15" customWidth="1"/>
    <col min="11002" max="11002" width="7.28515625" style="15" customWidth="1"/>
    <col min="11003" max="11003" width="68.7109375" style="15" customWidth="1"/>
    <col min="11004" max="11004" width="15" style="15" customWidth="1"/>
    <col min="11005" max="11005" width="14.140625" style="15" bestFit="1" customWidth="1"/>
    <col min="11006" max="11006" width="16.5703125" style="15" customWidth="1"/>
    <col min="11007" max="11008" width="9.140625" style="15"/>
    <col min="11009" max="11009" width="8.7109375" style="15" customWidth="1"/>
    <col min="11010" max="11255" width="9.140625" style="15"/>
    <col min="11256" max="11256" width="15.28515625" style="15" customWidth="1"/>
    <col min="11257" max="11257" width="10.140625" style="15" customWidth="1"/>
    <col min="11258" max="11258" width="7.28515625" style="15" customWidth="1"/>
    <col min="11259" max="11259" width="68.7109375" style="15" customWidth="1"/>
    <col min="11260" max="11260" width="15" style="15" customWidth="1"/>
    <col min="11261" max="11261" width="14.140625" style="15" bestFit="1" customWidth="1"/>
    <col min="11262" max="11262" width="16.5703125" style="15" customWidth="1"/>
    <col min="11263" max="11264" width="9.140625" style="15"/>
    <col min="11265" max="11265" width="8.7109375" style="15" customWidth="1"/>
    <col min="11266" max="11511" width="9.140625" style="15"/>
    <col min="11512" max="11512" width="15.28515625" style="15" customWidth="1"/>
    <col min="11513" max="11513" width="10.140625" style="15" customWidth="1"/>
    <col min="11514" max="11514" width="7.28515625" style="15" customWidth="1"/>
    <col min="11515" max="11515" width="68.7109375" style="15" customWidth="1"/>
    <col min="11516" max="11516" width="15" style="15" customWidth="1"/>
    <col min="11517" max="11517" width="14.140625" style="15" bestFit="1" customWidth="1"/>
    <col min="11518" max="11518" width="16.5703125" style="15" customWidth="1"/>
    <col min="11519" max="11520" width="9.140625" style="15"/>
    <col min="11521" max="11521" width="8.7109375" style="15" customWidth="1"/>
    <col min="11522" max="11767" width="9.140625" style="15"/>
    <col min="11768" max="11768" width="15.28515625" style="15" customWidth="1"/>
    <col min="11769" max="11769" width="10.140625" style="15" customWidth="1"/>
    <col min="11770" max="11770" width="7.28515625" style="15" customWidth="1"/>
    <col min="11771" max="11771" width="68.7109375" style="15" customWidth="1"/>
    <col min="11772" max="11772" width="15" style="15" customWidth="1"/>
    <col min="11773" max="11773" width="14.140625" style="15" bestFit="1" customWidth="1"/>
    <col min="11774" max="11774" width="16.5703125" style="15" customWidth="1"/>
    <col min="11775" max="11776" width="9.140625" style="15"/>
    <col min="11777" max="11777" width="8.7109375" style="15" customWidth="1"/>
    <col min="11778" max="12023" width="9.140625" style="15"/>
    <col min="12024" max="12024" width="15.28515625" style="15" customWidth="1"/>
    <col min="12025" max="12025" width="10.140625" style="15" customWidth="1"/>
    <col min="12026" max="12026" width="7.28515625" style="15" customWidth="1"/>
    <col min="12027" max="12027" width="68.7109375" style="15" customWidth="1"/>
    <col min="12028" max="12028" width="15" style="15" customWidth="1"/>
    <col min="12029" max="12029" width="14.140625" style="15" bestFit="1" customWidth="1"/>
    <col min="12030" max="12030" width="16.5703125" style="15" customWidth="1"/>
    <col min="12031" max="12032" width="9.140625" style="15"/>
    <col min="12033" max="12033" width="8.7109375" style="15" customWidth="1"/>
    <col min="12034" max="12279" width="9.140625" style="15"/>
    <col min="12280" max="12280" width="15.28515625" style="15" customWidth="1"/>
    <col min="12281" max="12281" width="10.140625" style="15" customWidth="1"/>
    <col min="12282" max="12282" width="7.28515625" style="15" customWidth="1"/>
    <col min="12283" max="12283" width="68.7109375" style="15" customWidth="1"/>
    <col min="12284" max="12284" width="15" style="15" customWidth="1"/>
    <col min="12285" max="12285" width="14.140625" style="15" bestFit="1" customWidth="1"/>
    <col min="12286" max="12286" width="16.5703125" style="15" customWidth="1"/>
    <col min="12287" max="12288" width="9.140625" style="15"/>
    <col min="12289" max="12289" width="8.7109375" style="15" customWidth="1"/>
    <col min="12290" max="12535" width="9.140625" style="15"/>
    <col min="12536" max="12536" width="15.28515625" style="15" customWidth="1"/>
    <col min="12537" max="12537" width="10.140625" style="15" customWidth="1"/>
    <col min="12538" max="12538" width="7.28515625" style="15" customWidth="1"/>
    <col min="12539" max="12539" width="68.7109375" style="15" customWidth="1"/>
    <col min="12540" max="12540" width="15" style="15" customWidth="1"/>
    <col min="12541" max="12541" width="14.140625" style="15" bestFit="1" customWidth="1"/>
    <col min="12542" max="12542" width="16.5703125" style="15" customWidth="1"/>
    <col min="12543" max="12544" width="9.140625" style="15"/>
    <col min="12545" max="12545" width="8.7109375" style="15" customWidth="1"/>
    <col min="12546" max="12791" width="9.140625" style="15"/>
    <col min="12792" max="12792" width="15.28515625" style="15" customWidth="1"/>
    <col min="12793" max="12793" width="10.140625" style="15" customWidth="1"/>
    <col min="12794" max="12794" width="7.28515625" style="15" customWidth="1"/>
    <col min="12795" max="12795" width="68.7109375" style="15" customWidth="1"/>
    <col min="12796" max="12796" width="15" style="15" customWidth="1"/>
    <col min="12797" max="12797" width="14.140625" style="15" bestFit="1" customWidth="1"/>
    <col min="12798" max="12798" width="16.5703125" style="15" customWidth="1"/>
    <col min="12799" max="12800" width="9.140625" style="15"/>
    <col min="12801" max="12801" width="8.7109375" style="15" customWidth="1"/>
    <col min="12802" max="13047" width="9.140625" style="15"/>
    <col min="13048" max="13048" width="15.28515625" style="15" customWidth="1"/>
    <col min="13049" max="13049" width="10.140625" style="15" customWidth="1"/>
    <col min="13050" max="13050" width="7.28515625" style="15" customWidth="1"/>
    <col min="13051" max="13051" width="68.7109375" style="15" customWidth="1"/>
    <col min="13052" max="13052" width="15" style="15" customWidth="1"/>
    <col min="13053" max="13053" width="14.140625" style="15" bestFit="1" customWidth="1"/>
    <col min="13054" max="13054" width="16.5703125" style="15" customWidth="1"/>
    <col min="13055" max="13056" width="9.140625" style="15"/>
    <col min="13057" max="13057" width="8.7109375" style="15" customWidth="1"/>
    <col min="13058" max="13303" width="9.140625" style="15"/>
    <col min="13304" max="13304" width="15.28515625" style="15" customWidth="1"/>
    <col min="13305" max="13305" width="10.140625" style="15" customWidth="1"/>
    <col min="13306" max="13306" width="7.28515625" style="15" customWidth="1"/>
    <col min="13307" max="13307" width="68.7109375" style="15" customWidth="1"/>
    <col min="13308" max="13308" width="15" style="15" customWidth="1"/>
    <col min="13309" max="13309" width="14.140625" style="15" bestFit="1" customWidth="1"/>
    <col min="13310" max="13310" width="16.5703125" style="15" customWidth="1"/>
    <col min="13311" max="13312" width="9.140625" style="15"/>
    <col min="13313" max="13313" width="8.7109375" style="15" customWidth="1"/>
    <col min="13314" max="13559" width="9.140625" style="15"/>
    <col min="13560" max="13560" width="15.28515625" style="15" customWidth="1"/>
    <col min="13561" max="13561" width="10.140625" style="15" customWidth="1"/>
    <col min="13562" max="13562" width="7.28515625" style="15" customWidth="1"/>
    <col min="13563" max="13563" width="68.7109375" style="15" customWidth="1"/>
    <col min="13564" max="13564" width="15" style="15" customWidth="1"/>
    <col min="13565" max="13565" width="14.140625" style="15" bestFit="1" customWidth="1"/>
    <col min="13566" max="13566" width="16.5703125" style="15" customWidth="1"/>
    <col min="13567" max="13568" width="9.140625" style="15"/>
    <col min="13569" max="13569" width="8.7109375" style="15" customWidth="1"/>
    <col min="13570" max="13815" width="9.140625" style="15"/>
    <col min="13816" max="13816" width="15.28515625" style="15" customWidth="1"/>
    <col min="13817" max="13817" width="10.140625" style="15" customWidth="1"/>
    <col min="13818" max="13818" width="7.28515625" style="15" customWidth="1"/>
    <col min="13819" max="13819" width="68.7109375" style="15" customWidth="1"/>
    <col min="13820" max="13820" width="15" style="15" customWidth="1"/>
    <col min="13821" max="13821" width="14.140625" style="15" bestFit="1" customWidth="1"/>
    <col min="13822" max="13822" width="16.5703125" style="15" customWidth="1"/>
    <col min="13823" max="13824" width="9.140625" style="15"/>
    <col min="13825" max="13825" width="8.7109375" style="15" customWidth="1"/>
    <col min="13826" max="14071" width="9.140625" style="15"/>
    <col min="14072" max="14072" width="15.28515625" style="15" customWidth="1"/>
    <col min="14073" max="14073" width="10.140625" style="15" customWidth="1"/>
    <col min="14074" max="14074" width="7.28515625" style="15" customWidth="1"/>
    <col min="14075" max="14075" width="68.7109375" style="15" customWidth="1"/>
    <col min="14076" max="14076" width="15" style="15" customWidth="1"/>
    <col min="14077" max="14077" width="14.140625" style="15" bestFit="1" customWidth="1"/>
    <col min="14078" max="14078" width="16.5703125" style="15" customWidth="1"/>
    <col min="14079" max="14080" width="9.140625" style="15"/>
    <col min="14081" max="14081" width="8.7109375" style="15" customWidth="1"/>
    <col min="14082" max="14327" width="9.140625" style="15"/>
    <col min="14328" max="14328" width="15.28515625" style="15" customWidth="1"/>
    <col min="14329" max="14329" width="10.140625" style="15" customWidth="1"/>
    <col min="14330" max="14330" width="7.28515625" style="15" customWidth="1"/>
    <col min="14331" max="14331" width="68.7109375" style="15" customWidth="1"/>
    <col min="14332" max="14332" width="15" style="15" customWidth="1"/>
    <col min="14333" max="14333" width="14.140625" style="15" bestFit="1" customWidth="1"/>
    <col min="14334" max="14334" width="16.5703125" style="15" customWidth="1"/>
    <col min="14335" max="14336" width="9.140625" style="15"/>
    <col min="14337" max="14337" width="8.7109375" style="15" customWidth="1"/>
    <col min="14338" max="14583" width="9.140625" style="15"/>
    <col min="14584" max="14584" width="15.28515625" style="15" customWidth="1"/>
    <col min="14585" max="14585" width="10.140625" style="15" customWidth="1"/>
    <col min="14586" max="14586" width="7.28515625" style="15" customWidth="1"/>
    <col min="14587" max="14587" width="68.7109375" style="15" customWidth="1"/>
    <col min="14588" max="14588" width="15" style="15" customWidth="1"/>
    <col min="14589" max="14589" width="14.140625" style="15" bestFit="1" customWidth="1"/>
    <col min="14590" max="14590" width="16.5703125" style="15" customWidth="1"/>
    <col min="14591" max="14592" width="9.140625" style="15"/>
    <col min="14593" max="14593" width="8.7109375" style="15" customWidth="1"/>
    <col min="14594" max="14839" width="9.140625" style="15"/>
    <col min="14840" max="14840" width="15.28515625" style="15" customWidth="1"/>
    <col min="14841" max="14841" width="10.140625" style="15" customWidth="1"/>
    <col min="14842" max="14842" width="7.28515625" style="15" customWidth="1"/>
    <col min="14843" max="14843" width="68.7109375" style="15" customWidth="1"/>
    <col min="14844" max="14844" width="15" style="15" customWidth="1"/>
    <col min="14845" max="14845" width="14.140625" style="15" bestFit="1" customWidth="1"/>
    <col min="14846" max="14846" width="16.5703125" style="15" customWidth="1"/>
    <col min="14847" max="14848" width="9.140625" style="15"/>
    <col min="14849" max="14849" width="8.7109375" style="15" customWidth="1"/>
    <col min="14850" max="15095" width="9.140625" style="15"/>
    <col min="15096" max="15096" width="15.28515625" style="15" customWidth="1"/>
    <col min="15097" max="15097" width="10.140625" style="15" customWidth="1"/>
    <col min="15098" max="15098" width="7.28515625" style="15" customWidth="1"/>
    <col min="15099" max="15099" width="68.7109375" style="15" customWidth="1"/>
    <col min="15100" max="15100" width="15" style="15" customWidth="1"/>
    <col min="15101" max="15101" width="14.140625" style="15" bestFit="1" customWidth="1"/>
    <col min="15102" max="15102" width="16.5703125" style="15" customWidth="1"/>
    <col min="15103" max="15104" width="9.140625" style="15"/>
    <col min="15105" max="15105" width="8.7109375" style="15" customWidth="1"/>
    <col min="15106" max="15351" width="9.140625" style="15"/>
    <col min="15352" max="15352" width="15.28515625" style="15" customWidth="1"/>
    <col min="15353" max="15353" width="10.140625" style="15" customWidth="1"/>
    <col min="15354" max="15354" width="7.28515625" style="15" customWidth="1"/>
    <col min="15355" max="15355" width="68.7109375" style="15" customWidth="1"/>
    <col min="15356" max="15356" width="15" style="15" customWidth="1"/>
    <col min="15357" max="15357" width="14.140625" style="15" bestFit="1" customWidth="1"/>
    <col min="15358" max="15358" width="16.5703125" style="15" customWidth="1"/>
    <col min="15359" max="15360" width="9.140625" style="15"/>
    <col min="15361" max="15361" width="8.7109375" style="15" customWidth="1"/>
    <col min="15362" max="15607" width="9.140625" style="15"/>
    <col min="15608" max="15608" width="15.28515625" style="15" customWidth="1"/>
    <col min="15609" max="15609" width="10.140625" style="15" customWidth="1"/>
    <col min="15610" max="15610" width="7.28515625" style="15" customWidth="1"/>
    <col min="15611" max="15611" width="68.7109375" style="15" customWidth="1"/>
    <col min="15612" max="15612" width="15" style="15" customWidth="1"/>
    <col min="15613" max="15613" width="14.140625" style="15" bestFit="1" customWidth="1"/>
    <col min="15614" max="15614" width="16.5703125" style="15" customWidth="1"/>
    <col min="15615" max="15616" width="9.140625" style="15"/>
    <col min="15617" max="15617" width="8.7109375" style="15" customWidth="1"/>
    <col min="15618" max="15863" width="9.140625" style="15"/>
    <col min="15864" max="15864" width="15.28515625" style="15" customWidth="1"/>
    <col min="15865" max="15865" width="10.140625" style="15" customWidth="1"/>
    <col min="15866" max="15866" width="7.28515625" style="15" customWidth="1"/>
    <col min="15867" max="15867" width="68.7109375" style="15" customWidth="1"/>
    <col min="15868" max="15868" width="15" style="15" customWidth="1"/>
    <col min="15869" max="15869" width="14.140625" style="15" bestFit="1" customWidth="1"/>
    <col min="15870" max="15870" width="16.5703125" style="15" customWidth="1"/>
    <col min="15871" max="15872" width="9.140625" style="15"/>
    <col min="15873" max="15873" width="8.7109375" style="15" customWidth="1"/>
    <col min="15874" max="16119" width="9.140625" style="15"/>
    <col min="16120" max="16120" width="15.28515625" style="15" customWidth="1"/>
    <col min="16121" max="16121" width="10.140625" style="15" customWidth="1"/>
    <col min="16122" max="16122" width="7.28515625" style="15" customWidth="1"/>
    <col min="16123" max="16123" width="68.7109375" style="15" customWidth="1"/>
    <col min="16124" max="16124" width="15" style="15" customWidth="1"/>
    <col min="16125" max="16125" width="14.140625" style="15" bestFit="1" customWidth="1"/>
    <col min="16126" max="16126" width="16.5703125" style="15" customWidth="1"/>
    <col min="16127" max="16128" width="9.140625" style="15"/>
    <col min="16129" max="16129" width="8.7109375" style="15" customWidth="1"/>
    <col min="16130" max="16384" width="9.140625" style="15"/>
  </cols>
  <sheetData>
    <row r="1" spans="1:16" ht="20.25">
      <c r="A1" s="800" t="s">
        <v>74</v>
      </c>
      <c r="B1" s="801"/>
      <c r="C1" s="801"/>
      <c r="D1" s="801"/>
      <c r="E1" s="801"/>
      <c r="F1" s="801"/>
      <c r="G1" s="801"/>
      <c r="H1" s="802"/>
    </row>
    <row r="2" spans="1:16" s="2" customFormat="1" ht="21" thickBot="1">
      <c r="A2" s="803" t="s">
        <v>1443</v>
      </c>
      <c r="B2" s="804"/>
      <c r="C2" s="804"/>
      <c r="D2" s="804"/>
      <c r="E2" s="804"/>
      <c r="F2" s="804"/>
      <c r="G2" s="804"/>
      <c r="H2" s="805"/>
      <c r="J2" s="806" t="s">
        <v>75</v>
      </c>
      <c r="K2" s="807"/>
      <c r="L2" s="808"/>
      <c r="M2" s="34"/>
    </row>
    <row r="3" spans="1:16" s="30" customFormat="1" ht="31.5">
      <c r="A3" s="107" t="s">
        <v>1041</v>
      </c>
      <c r="B3" s="108" t="s">
        <v>76</v>
      </c>
      <c r="C3" s="109" t="s">
        <v>77</v>
      </c>
      <c r="D3" s="109" t="s">
        <v>1611</v>
      </c>
      <c r="E3" s="107" t="s">
        <v>79</v>
      </c>
      <c r="F3" s="110" t="s">
        <v>80</v>
      </c>
      <c r="G3" s="110" t="s">
        <v>1612</v>
      </c>
      <c r="H3" s="110" t="s">
        <v>82</v>
      </c>
      <c r="I3" s="33"/>
      <c r="J3" s="15" t="s">
        <v>1771</v>
      </c>
      <c r="K3" s="33" t="s">
        <v>1772</v>
      </c>
      <c r="L3" s="33" t="s">
        <v>1774</v>
      </c>
      <c r="M3" s="33"/>
    </row>
    <row r="4" spans="1:16" s="34" customFormat="1" ht="31.5">
      <c r="A4" s="520" t="s">
        <v>1608</v>
      </c>
      <c r="B4" s="142" t="s">
        <v>108</v>
      </c>
      <c r="C4" s="532" t="s">
        <v>1176</v>
      </c>
      <c r="D4" s="47">
        <v>5</v>
      </c>
      <c r="E4" s="47" t="s">
        <v>1161</v>
      </c>
      <c r="F4" s="51">
        <f>ROUND(AVERAGE(J4:L4),2)</f>
        <v>30344.98</v>
      </c>
      <c r="G4" s="478">
        <f t="shared" ref="G4:G6" si="0">ROUND(D4*F4,2)</f>
        <v>151724.9</v>
      </c>
      <c r="H4" s="533" t="s">
        <v>1195</v>
      </c>
      <c r="J4" s="102">
        <v>30344.98</v>
      </c>
      <c r="K4" s="102"/>
      <c r="L4" s="102"/>
      <c r="N4" s="15"/>
      <c r="O4" s="15"/>
      <c r="P4" s="15"/>
    </row>
    <row r="5" spans="1:16" s="34" customFormat="1" ht="31.5">
      <c r="A5" s="520" t="s">
        <v>1609</v>
      </c>
      <c r="B5" s="142" t="s">
        <v>108</v>
      </c>
      <c r="C5" s="532" t="s">
        <v>1177</v>
      </c>
      <c r="D5" s="47">
        <v>5</v>
      </c>
      <c r="E5" s="47" t="s">
        <v>1161</v>
      </c>
      <c r="F5" s="51">
        <f t="shared" ref="F5:F6" si="1">ROUND(AVERAGE(J5:L5),2)</f>
        <v>34419.980000000003</v>
      </c>
      <c r="G5" s="478">
        <f t="shared" si="0"/>
        <v>172099.9</v>
      </c>
      <c r="H5" s="533" t="s">
        <v>1195</v>
      </c>
      <c r="J5" s="102">
        <v>32786.9</v>
      </c>
      <c r="K5" s="102">
        <v>36053.06</v>
      </c>
      <c r="L5" s="102"/>
      <c r="N5" s="15"/>
      <c r="O5" s="15"/>
      <c r="P5" s="15"/>
    </row>
    <row r="6" spans="1:16" s="34" customFormat="1" ht="47.25">
      <c r="A6" s="520" t="s">
        <v>1610</v>
      </c>
      <c r="B6" s="142" t="s">
        <v>108</v>
      </c>
      <c r="C6" s="532" t="s">
        <v>1178</v>
      </c>
      <c r="D6" s="47">
        <v>6</v>
      </c>
      <c r="E6" s="47" t="s">
        <v>1161</v>
      </c>
      <c r="F6" s="51">
        <f t="shared" si="1"/>
        <v>3251.53</v>
      </c>
      <c r="G6" s="478">
        <f t="shared" si="0"/>
        <v>19509.18</v>
      </c>
      <c r="H6" s="533" t="s">
        <v>1195</v>
      </c>
      <c r="J6" s="102">
        <v>1391.64</v>
      </c>
      <c r="K6" s="102">
        <v>5975.2</v>
      </c>
      <c r="L6" s="102">
        <v>2387.75</v>
      </c>
      <c r="N6" s="15"/>
      <c r="O6" s="15"/>
      <c r="P6" s="15"/>
    </row>
    <row r="7" spans="1:16" s="34" customFormat="1">
      <c r="A7" s="520" t="s">
        <v>1760</v>
      </c>
      <c r="B7" s="142" t="s">
        <v>108</v>
      </c>
      <c r="C7" s="532" t="s">
        <v>1403</v>
      </c>
      <c r="D7" s="47">
        <v>6</v>
      </c>
      <c r="E7" s="47" t="s">
        <v>3</v>
      </c>
      <c r="F7" s="533">
        <f>ROUND(AVERAGE(K7:M7),2)</f>
        <v>8099.24</v>
      </c>
      <c r="G7" s="478">
        <f>ROUND(D7*F7,2)</f>
        <v>48595.44</v>
      </c>
      <c r="H7" s="533" t="s">
        <v>1196</v>
      </c>
      <c r="J7" s="457"/>
      <c r="K7" s="530">
        <v>7007</v>
      </c>
      <c r="L7" s="529">
        <v>9693.7099999999991</v>
      </c>
      <c r="M7" s="529">
        <v>7597</v>
      </c>
      <c r="N7" s="15"/>
      <c r="O7" s="15"/>
      <c r="P7" s="15"/>
    </row>
    <row r="8" spans="1:16" s="34" customFormat="1">
      <c r="A8" s="520" t="s">
        <v>1761</v>
      </c>
      <c r="B8" s="142" t="s">
        <v>108</v>
      </c>
      <c r="C8" s="532" t="s">
        <v>1184</v>
      </c>
      <c r="D8" s="47">
        <v>4</v>
      </c>
      <c r="E8" s="47" t="s">
        <v>3</v>
      </c>
      <c r="F8" s="533">
        <f t="shared" ref="F8:F9" si="2">ROUND(AVERAGE(K8:M8),2)</f>
        <v>19999.43</v>
      </c>
      <c r="G8" s="533">
        <f t="shared" ref="G8:G9" si="3">D8*F8</f>
        <v>79997.72</v>
      </c>
      <c r="H8" s="533" t="s">
        <v>1196</v>
      </c>
      <c r="J8" s="457"/>
      <c r="K8" s="530">
        <v>21999.9</v>
      </c>
      <c r="L8" s="529">
        <v>19457.91</v>
      </c>
      <c r="M8" s="529">
        <v>18540.48</v>
      </c>
      <c r="N8" s="15"/>
      <c r="O8" s="15"/>
      <c r="P8" s="15"/>
    </row>
    <row r="9" spans="1:16" s="34" customFormat="1">
      <c r="A9" s="520" t="s">
        <v>1762</v>
      </c>
      <c r="B9" s="142" t="s">
        <v>108</v>
      </c>
      <c r="C9" s="531" t="s">
        <v>1777</v>
      </c>
      <c r="D9" s="47">
        <v>6</v>
      </c>
      <c r="E9" s="47" t="s">
        <v>3</v>
      </c>
      <c r="F9" s="533">
        <f t="shared" si="2"/>
        <v>4945.1400000000003</v>
      </c>
      <c r="G9" s="533">
        <f t="shared" si="3"/>
        <v>29670.840000000004</v>
      </c>
      <c r="H9" s="533" t="s">
        <v>1196</v>
      </c>
      <c r="J9" s="457"/>
      <c r="K9" s="530">
        <v>5129</v>
      </c>
      <c r="L9" s="529">
        <v>4500.2700000000004</v>
      </c>
      <c r="M9" s="529">
        <v>5206.1400000000003</v>
      </c>
      <c r="N9" s="15"/>
      <c r="O9" s="15"/>
      <c r="P9" s="15"/>
    </row>
    <row r="10" spans="1:16" s="34" customFormat="1">
      <c r="A10" s="61"/>
      <c r="B10" s="98"/>
      <c r="C10" s="100"/>
      <c r="D10" s="101"/>
      <c r="E10" s="9"/>
      <c r="F10" s="458"/>
      <c r="G10" s="459"/>
      <c r="H10" s="102"/>
      <c r="J10" s="102"/>
      <c r="K10" s="102"/>
      <c r="L10" s="102"/>
      <c r="N10" s="15"/>
      <c r="O10" s="15"/>
      <c r="P10" s="15"/>
    </row>
    <row r="11" spans="1:16" s="34" customFormat="1">
      <c r="A11" s="799" t="s">
        <v>182</v>
      </c>
      <c r="B11" s="799"/>
      <c r="C11" s="799"/>
      <c r="D11" s="799"/>
      <c r="E11" s="799"/>
      <c r="F11" s="799"/>
      <c r="G11" s="523">
        <f>ROUND(SUM(G4:G10),2)</f>
        <v>501597.98</v>
      </c>
      <c r="H11" s="102"/>
      <c r="J11" s="102"/>
      <c r="K11" s="102"/>
      <c r="L11" s="102"/>
      <c r="N11" s="15"/>
      <c r="O11" s="15"/>
      <c r="P11" s="15"/>
    </row>
    <row r="12" spans="1:16" s="34" customFormat="1">
      <c r="A12" s="799" t="s">
        <v>183</v>
      </c>
      <c r="B12" s="799"/>
      <c r="C12" s="799"/>
      <c r="D12" s="799"/>
      <c r="E12" s="799"/>
      <c r="F12" s="799"/>
      <c r="G12" s="524">
        <f>BDI!O14</f>
        <v>0.22391624455096393</v>
      </c>
      <c r="H12" s="102"/>
      <c r="J12" s="102"/>
      <c r="K12" s="102"/>
      <c r="L12" s="102"/>
      <c r="N12" s="15"/>
      <c r="O12" s="15"/>
      <c r="P12" s="15"/>
    </row>
    <row r="13" spans="1:16" s="34" customFormat="1">
      <c r="A13" s="799" t="s">
        <v>184</v>
      </c>
      <c r="B13" s="799"/>
      <c r="C13" s="799"/>
      <c r="D13" s="799"/>
      <c r="E13" s="799"/>
      <c r="F13" s="799"/>
      <c r="G13" s="523">
        <f>ROUND((G11+(G11*G12)),2)</f>
        <v>613913.92000000004</v>
      </c>
      <c r="H13" s="102"/>
      <c r="J13" s="102"/>
      <c r="K13" s="102"/>
      <c r="L13" s="102"/>
      <c r="N13" s="15"/>
      <c r="O13" s="15"/>
      <c r="P13" s="15"/>
    </row>
    <row r="14" spans="1:16" s="34" customFormat="1">
      <c r="A14" s="9"/>
      <c r="B14" s="99"/>
      <c r="C14" s="100"/>
      <c r="D14" s="101"/>
      <c r="E14" s="9"/>
      <c r="F14" s="458"/>
      <c r="G14" s="459"/>
      <c r="H14" s="102"/>
      <c r="J14" s="102"/>
      <c r="K14" s="102"/>
      <c r="L14" s="102"/>
      <c r="N14" s="15"/>
      <c r="O14" s="15"/>
      <c r="P14" s="15"/>
    </row>
    <row r="15" spans="1:16" s="34" customFormat="1">
      <c r="A15" s="9"/>
      <c r="B15" s="99"/>
      <c r="C15" s="100"/>
      <c r="D15" s="101"/>
      <c r="E15" s="9"/>
      <c r="F15" s="458"/>
      <c r="G15" s="459"/>
      <c r="H15" s="102"/>
      <c r="J15" s="102"/>
      <c r="K15" s="102"/>
      <c r="L15" s="102"/>
      <c r="N15" s="15"/>
      <c r="O15" s="15"/>
      <c r="P15" s="15"/>
    </row>
    <row r="16" spans="1:16" s="34" customFormat="1">
      <c r="A16" s="9"/>
      <c r="B16" s="99"/>
      <c r="C16" s="100"/>
      <c r="D16" s="101"/>
      <c r="E16" s="9"/>
      <c r="F16" s="458"/>
      <c r="G16" s="459"/>
      <c r="H16" s="102"/>
      <c r="J16" s="102"/>
      <c r="K16" s="102"/>
      <c r="L16" s="102"/>
      <c r="N16" s="15"/>
      <c r="O16" s="15"/>
      <c r="P16" s="15"/>
    </row>
    <row r="17" spans="1:16" s="34" customFormat="1">
      <c r="A17" s="9"/>
      <c r="B17" s="99"/>
      <c r="C17" s="100"/>
      <c r="D17" s="101"/>
      <c r="E17" s="9"/>
      <c r="F17" s="458"/>
      <c r="G17" s="459"/>
      <c r="H17" s="102"/>
      <c r="J17" s="102"/>
      <c r="K17" s="102"/>
      <c r="L17" s="102"/>
      <c r="N17" s="15"/>
      <c r="O17" s="15"/>
      <c r="P17" s="15"/>
    </row>
    <row r="18" spans="1:16" s="34" customFormat="1">
      <c r="A18" s="9"/>
      <c r="B18" s="99"/>
      <c r="C18" s="100"/>
      <c r="D18" s="101"/>
      <c r="E18" s="9"/>
      <c r="F18" s="458"/>
      <c r="G18" s="459"/>
      <c r="H18" s="102"/>
      <c r="J18" s="102"/>
      <c r="K18" s="102"/>
      <c r="L18" s="102"/>
      <c r="N18" s="15"/>
      <c r="O18" s="15"/>
      <c r="P18" s="15"/>
    </row>
    <row r="19" spans="1:16" s="34" customFormat="1">
      <c r="A19" s="9"/>
      <c r="B19" s="99"/>
      <c r="C19" s="100"/>
      <c r="D19" s="101"/>
      <c r="E19" s="9"/>
      <c r="F19" s="458"/>
      <c r="G19" s="459"/>
      <c r="H19" s="102"/>
      <c r="J19" s="102"/>
      <c r="K19" s="102"/>
      <c r="L19" s="102"/>
      <c r="N19" s="15"/>
      <c r="O19" s="15"/>
      <c r="P19" s="15"/>
    </row>
    <row r="20" spans="1:16" s="34" customFormat="1">
      <c r="A20" s="9"/>
      <c r="B20" s="99"/>
      <c r="C20" s="100"/>
      <c r="D20" s="101"/>
      <c r="E20" s="9"/>
      <c r="F20" s="458"/>
      <c r="G20" s="459"/>
      <c r="H20" s="102"/>
      <c r="J20" s="102"/>
      <c r="K20" s="102"/>
      <c r="L20" s="102"/>
      <c r="N20" s="15"/>
      <c r="O20" s="15"/>
      <c r="P20" s="15"/>
    </row>
    <row r="21" spans="1:16" s="34" customFormat="1">
      <c r="A21" s="9"/>
      <c r="B21" s="99"/>
      <c r="C21" s="100"/>
      <c r="D21" s="101"/>
      <c r="E21" s="9"/>
      <c r="F21" s="458"/>
      <c r="G21" s="459"/>
      <c r="H21" s="102"/>
      <c r="J21" s="102"/>
      <c r="K21" s="102"/>
      <c r="L21" s="102"/>
      <c r="N21" s="15"/>
      <c r="O21" s="15"/>
      <c r="P21" s="15"/>
    </row>
    <row r="22" spans="1:16" s="34" customFormat="1">
      <c r="A22" s="9"/>
      <c r="B22" s="99"/>
      <c r="C22" s="100"/>
      <c r="D22" s="101"/>
      <c r="E22" s="9"/>
      <c r="F22" s="458"/>
      <c r="G22" s="459"/>
      <c r="H22" s="102"/>
      <c r="J22" s="102"/>
      <c r="K22" s="102"/>
      <c r="L22" s="102"/>
      <c r="N22" s="15"/>
      <c r="O22" s="15"/>
      <c r="P22" s="15"/>
    </row>
    <row r="23" spans="1:16" s="34" customFormat="1">
      <c r="A23" s="9"/>
      <c r="B23" s="99"/>
      <c r="C23" s="100"/>
      <c r="D23" s="101"/>
      <c r="E23" s="9"/>
      <c r="F23" s="458"/>
      <c r="G23" s="459"/>
      <c r="H23" s="102"/>
      <c r="J23" s="102"/>
      <c r="K23" s="102"/>
      <c r="L23" s="102"/>
      <c r="N23" s="15"/>
      <c r="O23" s="15"/>
      <c r="P23" s="15"/>
    </row>
    <row r="24" spans="1:16" s="34" customFormat="1">
      <c r="A24" s="9"/>
      <c r="B24" s="99"/>
      <c r="C24" s="100"/>
      <c r="D24" s="101"/>
      <c r="E24" s="9"/>
      <c r="F24" s="458"/>
      <c r="G24" s="459"/>
      <c r="H24" s="102"/>
      <c r="J24" s="102"/>
      <c r="K24" s="102"/>
      <c r="L24" s="102"/>
      <c r="N24" s="15"/>
      <c r="O24" s="15"/>
      <c r="P24" s="15"/>
    </row>
    <row r="25" spans="1:16" s="34" customFormat="1">
      <c r="A25" s="9"/>
      <c r="B25" s="99"/>
      <c r="C25" s="100"/>
      <c r="D25" s="101"/>
      <c r="E25" s="9"/>
      <c r="F25" s="458"/>
      <c r="G25" s="459"/>
      <c r="H25" s="102"/>
      <c r="J25" s="102"/>
      <c r="K25" s="102"/>
      <c r="L25" s="102"/>
      <c r="N25" s="15"/>
      <c r="O25" s="15"/>
      <c r="P25" s="15"/>
    </row>
    <row r="26" spans="1:16" s="34" customFormat="1">
      <c r="A26" s="9"/>
      <c r="B26" s="99"/>
      <c r="C26" s="100"/>
      <c r="D26" s="101"/>
      <c r="E26" s="9"/>
      <c r="F26" s="458"/>
      <c r="G26" s="459"/>
      <c r="H26" s="102"/>
      <c r="J26" s="102"/>
      <c r="K26" s="102"/>
      <c r="L26" s="102"/>
      <c r="N26" s="15"/>
      <c r="O26" s="15"/>
      <c r="P26" s="15"/>
    </row>
    <row r="27" spans="1:16" s="34" customFormat="1">
      <c r="A27" s="9"/>
      <c r="B27" s="99"/>
      <c r="C27" s="100"/>
      <c r="D27" s="101"/>
      <c r="E27" s="9"/>
      <c r="F27" s="458"/>
      <c r="G27" s="459"/>
      <c r="H27" s="102"/>
      <c r="J27" s="102"/>
      <c r="K27" s="102"/>
      <c r="L27" s="102"/>
      <c r="N27" s="15"/>
      <c r="O27" s="15"/>
      <c r="P27" s="15"/>
    </row>
    <row r="28" spans="1:16" s="34" customFormat="1">
      <c r="A28" s="9"/>
      <c r="B28" s="99"/>
      <c r="C28" s="100"/>
      <c r="D28" s="101"/>
      <c r="E28" s="9"/>
      <c r="F28" s="458"/>
      <c r="G28" s="459"/>
      <c r="H28" s="102"/>
      <c r="J28" s="102"/>
      <c r="K28" s="102"/>
      <c r="L28" s="102"/>
      <c r="N28" s="15"/>
      <c r="O28" s="15"/>
      <c r="P28" s="15"/>
    </row>
    <row r="29" spans="1:16" s="34" customFormat="1">
      <c r="A29" s="9"/>
      <c r="B29" s="99"/>
      <c r="C29" s="100"/>
      <c r="D29" s="101"/>
      <c r="E29" s="9"/>
      <c r="F29" s="458"/>
      <c r="G29" s="459"/>
      <c r="H29" s="102"/>
      <c r="J29" s="102"/>
      <c r="K29" s="102"/>
      <c r="L29" s="102"/>
      <c r="N29" s="15"/>
      <c r="O29" s="15"/>
      <c r="P29" s="15"/>
    </row>
    <row r="30" spans="1:16" s="34" customFormat="1">
      <c r="A30" s="9"/>
      <c r="B30" s="99"/>
      <c r="C30" s="100"/>
      <c r="D30" s="101"/>
      <c r="E30" s="9"/>
      <c r="F30" s="458"/>
      <c r="G30" s="459"/>
      <c r="H30" s="102"/>
      <c r="J30" s="102"/>
      <c r="K30" s="102"/>
      <c r="L30" s="102"/>
      <c r="N30" s="15"/>
      <c r="O30" s="15"/>
      <c r="P30" s="15"/>
    </row>
    <row r="31" spans="1:16" s="34" customFormat="1">
      <c r="A31" s="9"/>
      <c r="B31" s="99"/>
      <c r="C31" s="100"/>
      <c r="D31" s="101"/>
      <c r="E31" s="9"/>
      <c r="F31" s="458"/>
      <c r="G31" s="459"/>
      <c r="H31" s="102"/>
      <c r="I31" s="15"/>
      <c r="J31" s="20"/>
      <c r="K31" s="102"/>
      <c r="L31" s="102"/>
      <c r="N31" s="15"/>
      <c r="O31" s="15"/>
      <c r="P31" s="15"/>
    </row>
  </sheetData>
  <mergeCells count="6">
    <mergeCell ref="A13:F13"/>
    <mergeCell ref="A1:H1"/>
    <mergeCell ref="A2:H2"/>
    <mergeCell ref="J2:L2"/>
    <mergeCell ref="A11:F11"/>
    <mergeCell ref="A12:F12"/>
  </mergeCells>
  <phoneticPr fontId="15" type="noConversion"/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FFD2-1F6D-468D-BE4B-DACD87CCB881}">
  <sheetPr>
    <tabColor theme="7" tint="0.59999389629810485"/>
    <pageSetUpPr fitToPage="1"/>
  </sheetPr>
  <dimension ref="A1:L144"/>
  <sheetViews>
    <sheetView workbookViewId="0">
      <selection activeCell="C49" sqref="C49"/>
    </sheetView>
  </sheetViews>
  <sheetFormatPr defaultRowHeight="16.5"/>
  <cols>
    <col min="1" max="1" width="12.28515625" style="17" customWidth="1"/>
    <col min="2" max="2" width="18.85546875" style="17" customWidth="1"/>
    <col min="3" max="3" width="122.28515625" style="122" customWidth="1"/>
    <col min="4" max="4" width="13.7109375" style="18" customWidth="1"/>
    <col min="5" max="5" width="13.7109375" style="137" customWidth="1"/>
    <col min="6" max="6" width="15" style="479" customWidth="1"/>
    <col min="7" max="7" width="15.7109375" style="19" customWidth="1"/>
    <col min="8" max="235" width="9.140625" style="15"/>
    <col min="236" max="236" width="15.28515625" style="15" customWidth="1"/>
    <col min="237" max="237" width="10.140625" style="15" customWidth="1"/>
    <col min="238" max="238" width="7.28515625" style="15" customWidth="1"/>
    <col min="239" max="239" width="68.7109375" style="15" customWidth="1"/>
    <col min="240" max="240" width="15" style="15" customWidth="1"/>
    <col min="241" max="241" width="14.140625" style="15" bestFit="1" customWidth="1"/>
    <col min="242" max="242" width="16.5703125" style="15" customWidth="1"/>
    <col min="243" max="244" width="9.140625" style="15"/>
    <col min="245" max="245" width="8.7109375" style="15" customWidth="1"/>
    <col min="246" max="491" width="9.140625" style="15"/>
    <col min="492" max="492" width="15.28515625" style="15" customWidth="1"/>
    <col min="493" max="493" width="10.140625" style="15" customWidth="1"/>
    <col min="494" max="494" width="7.28515625" style="15" customWidth="1"/>
    <col min="495" max="495" width="68.7109375" style="15" customWidth="1"/>
    <col min="496" max="496" width="15" style="15" customWidth="1"/>
    <col min="497" max="497" width="14.140625" style="15" bestFit="1" customWidth="1"/>
    <col min="498" max="498" width="16.5703125" style="15" customWidth="1"/>
    <col min="499" max="500" width="9.140625" style="15"/>
    <col min="501" max="501" width="8.7109375" style="15" customWidth="1"/>
    <col min="502" max="747" width="9.140625" style="15"/>
    <col min="748" max="748" width="15.28515625" style="15" customWidth="1"/>
    <col min="749" max="749" width="10.140625" style="15" customWidth="1"/>
    <col min="750" max="750" width="7.28515625" style="15" customWidth="1"/>
    <col min="751" max="751" width="68.7109375" style="15" customWidth="1"/>
    <col min="752" max="752" width="15" style="15" customWidth="1"/>
    <col min="753" max="753" width="14.140625" style="15" bestFit="1" customWidth="1"/>
    <col min="754" max="754" width="16.5703125" style="15" customWidth="1"/>
    <col min="755" max="756" width="9.140625" style="15"/>
    <col min="757" max="757" width="8.7109375" style="15" customWidth="1"/>
    <col min="758" max="1003" width="9.140625" style="15"/>
    <col min="1004" max="1004" width="15.28515625" style="15" customWidth="1"/>
    <col min="1005" max="1005" width="10.140625" style="15" customWidth="1"/>
    <col min="1006" max="1006" width="7.28515625" style="15" customWidth="1"/>
    <col min="1007" max="1007" width="68.7109375" style="15" customWidth="1"/>
    <col min="1008" max="1008" width="15" style="15" customWidth="1"/>
    <col min="1009" max="1009" width="14.140625" style="15" bestFit="1" customWidth="1"/>
    <col min="1010" max="1010" width="16.5703125" style="15" customWidth="1"/>
    <col min="1011" max="1012" width="9.140625" style="15"/>
    <col min="1013" max="1013" width="8.7109375" style="15" customWidth="1"/>
    <col min="1014" max="1259" width="9.140625" style="15"/>
    <col min="1260" max="1260" width="15.28515625" style="15" customWidth="1"/>
    <col min="1261" max="1261" width="10.140625" style="15" customWidth="1"/>
    <col min="1262" max="1262" width="7.28515625" style="15" customWidth="1"/>
    <col min="1263" max="1263" width="68.7109375" style="15" customWidth="1"/>
    <col min="1264" max="1264" width="15" style="15" customWidth="1"/>
    <col min="1265" max="1265" width="14.140625" style="15" bestFit="1" customWidth="1"/>
    <col min="1266" max="1266" width="16.5703125" style="15" customWidth="1"/>
    <col min="1267" max="1268" width="9.140625" style="15"/>
    <col min="1269" max="1269" width="8.7109375" style="15" customWidth="1"/>
    <col min="1270" max="1515" width="9.140625" style="15"/>
    <col min="1516" max="1516" width="15.28515625" style="15" customWidth="1"/>
    <col min="1517" max="1517" width="10.140625" style="15" customWidth="1"/>
    <col min="1518" max="1518" width="7.28515625" style="15" customWidth="1"/>
    <col min="1519" max="1519" width="68.7109375" style="15" customWidth="1"/>
    <col min="1520" max="1520" width="15" style="15" customWidth="1"/>
    <col min="1521" max="1521" width="14.140625" style="15" bestFit="1" customWidth="1"/>
    <col min="1522" max="1522" width="16.5703125" style="15" customWidth="1"/>
    <col min="1523" max="1524" width="9.140625" style="15"/>
    <col min="1525" max="1525" width="8.7109375" style="15" customWidth="1"/>
    <col min="1526" max="1771" width="9.140625" style="15"/>
    <col min="1772" max="1772" width="15.28515625" style="15" customWidth="1"/>
    <col min="1773" max="1773" width="10.140625" style="15" customWidth="1"/>
    <col min="1774" max="1774" width="7.28515625" style="15" customWidth="1"/>
    <col min="1775" max="1775" width="68.7109375" style="15" customWidth="1"/>
    <col min="1776" max="1776" width="15" style="15" customWidth="1"/>
    <col min="1777" max="1777" width="14.140625" style="15" bestFit="1" customWidth="1"/>
    <col min="1778" max="1778" width="16.5703125" style="15" customWidth="1"/>
    <col min="1779" max="1780" width="9.140625" style="15"/>
    <col min="1781" max="1781" width="8.7109375" style="15" customWidth="1"/>
    <col min="1782" max="2027" width="9.140625" style="15"/>
    <col min="2028" max="2028" width="15.28515625" style="15" customWidth="1"/>
    <col min="2029" max="2029" width="10.140625" style="15" customWidth="1"/>
    <col min="2030" max="2030" width="7.28515625" style="15" customWidth="1"/>
    <col min="2031" max="2031" width="68.7109375" style="15" customWidth="1"/>
    <col min="2032" max="2032" width="15" style="15" customWidth="1"/>
    <col min="2033" max="2033" width="14.140625" style="15" bestFit="1" customWidth="1"/>
    <col min="2034" max="2034" width="16.5703125" style="15" customWidth="1"/>
    <col min="2035" max="2036" width="9.140625" style="15"/>
    <col min="2037" max="2037" width="8.7109375" style="15" customWidth="1"/>
    <col min="2038" max="2283" width="9.140625" style="15"/>
    <col min="2284" max="2284" width="15.28515625" style="15" customWidth="1"/>
    <col min="2285" max="2285" width="10.140625" style="15" customWidth="1"/>
    <col min="2286" max="2286" width="7.28515625" style="15" customWidth="1"/>
    <col min="2287" max="2287" width="68.7109375" style="15" customWidth="1"/>
    <col min="2288" max="2288" width="15" style="15" customWidth="1"/>
    <col min="2289" max="2289" width="14.140625" style="15" bestFit="1" customWidth="1"/>
    <col min="2290" max="2290" width="16.5703125" style="15" customWidth="1"/>
    <col min="2291" max="2292" width="9.140625" style="15"/>
    <col min="2293" max="2293" width="8.7109375" style="15" customWidth="1"/>
    <col min="2294" max="2539" width="9.140625" style="15"/>
    <col min="2540" max="2540" width="15.28515625" style="15" customWidth="1"/>
    <col min="2541" max="2541" width="10.140625" style="15" customWidth="1"/>
    <col min="2542" max="2542" width="7.28515625" style="15" customWidth="1"/>
    <col min="2543" max="2543" width="68.7109375" style="15" customWidth="1"/>
    <col min="2544" max="2544" width="15" style="15" customWidth="1"/>
    <col min="2545" max="2545" width="14.140625" style="15" bestFit="1" customWidth="1"/>
    <col min="2546" max="2546" width="16.5703125" style="15" customWidth="1"/>
    <col min="2547" max="2548" width="9.140625" style="15"/>
    <col min="2549" max="2549" width="8.7109375" style="15" customWidth="1"/>
    <col min="2550" max="2795" width="9.140625" style="15"/>
    <col min="2796" max="2796" width="15.28515625" style="15" customWidth="1"/>
    <col min="2797" max="2797" width="10.140625" style="15" customWidth="1"/>
    <col min="2798" max="2798" width="7.28515625" style="15" customWidth="1"/>
    <col min="2799" max="2799" width="68.7109375" style="15" customWidth="1"/>
    <col min="2800" max="2800" width="15" style="15" customWidth="1"/>
    <col min="2801" max="2801" width="14.140625" style="15" bestFit="1" customWidth="1"/>
    <col min="2802" max="2802" width="16.5703125" style="15" customWidth="1"/>
    <col min="2803" max="2804" width="9.140625" style="15"/>
    <col min="2805" max="2805" width="8.7109375" style="15" customWidth="1"/>
    <col min="2806" max="3051" width="9.140625" style="15"/>
    <col min="3052" max="3052" width="15.28515625" style="15" customWidth="1"/>
    <col min="3053" max="3053" width="10.140625" style="15" customWidth="1"/>
    <col min="3054" max="3054" width="7.28515625" style="15" customWidth="1"/>
    <col min="3055" max="3055" width="68.7109375" style="15" customWidth="1"/>
    <col min="3056" max="3056" width="15" style="15" customWidth="1"/>
    <col min="3057" max="3057" width="14.140625" style="15" bestFit="1" customWidth="1"/>
    <col min="3058" max="3058" width="16.5703125" style="15" customWidth="1"/>
    <col min="3059" max="3060" width="9.140625" style="15"/>
    <col min="3061" max="3061" width="8.7109375" style="15" customWidth="1"/>
    <col min="3062" max="3307" width="9.140625" style="15"/>
    <col min="3308" max="3308" width="15.28515625" style="15" customWidth="1"/>
    <col min="3309" max="3309" width="10.140625" style="15" customWidth="1"/>
    <col min="3310" max="3310" width="7.28515625" style="15" customWidth="1"/>
    <col min="3311" max="3311" width="68.7109375" style="15" customWidth="1"/>
    <col min="3312" max="3312" width="15" style="15" customWidth="1"/>
    <col min="3313" max="3313" width="14.140625" style="15" bestFit="1" customWidth="1"/>
    <col min="3314" max="3314" width="16.5703125" style="15" customWidth="1"/>
    <col min="3315" max="3316" width="9.140625" style="15"/>
    <col min="3317" max="3317" width="8.7109375" style="15" customWidth="1"/>
    <col min="3318" max="3563" width="9.140625" style="15"/>
    <col min="3564" max="3564" width="15.28515625" style="15" customWidth="1"/>
    <col min="3565" max="3565" width="10.140625" style="15" customWidth="1"/>
    <col min="3566" max="3566" width="7.28515625" style="15" customWidth="1"/>
    <col min="3567" max="3567" width="68.7109375" style="15" customWidth="1"/>
    <col min="3568" max="3568" width="15" style="15" customWidth="1"/>
    <col min="3569" max="3569" width="14.140625" style="15" bestFit="1" customWidth="1"/>
    <col min="3570" max="3570" width="16.5703125" style="15" customWidth="1"/>
    <col min="3571" max="3572" width="9.140625" style="15"/>
    <col min="3573" max="3573" width="8.7109375" style="15" customWidth="1"/>
    <col min="3574" max="3819" width="9.140625" style="15"/>
    <col min="3820" max="3820" width="15.28515625" style="15" customWidth="1"/>
    <col min="3821" max="3821" width="10.140625" style="15" customWidth="1"/>
    <col min="3822" max="3822" width="7.28515625" style="15" customWidth="1"/>
    <col min="3823" max="3823" width="68.7109375" style="15" customWidth="1"/>
    <col min="3824" max="3824" width="15" style="15" customWidth="1"/>
    <col min="3825" max="3825" width="14.140625" style="15" bestFit="1" customWidth="1"/>
    <col min="3826" max="3826" width="16.5703125" style="15" customWidth="1"/>
    <col min="3827" max="3828" width="9.140625" style="15"/>
    <col min="3829" max="3829" width="8.7109375" style="15" customWidth="1"/>
    <col min="3830" max="4075" width="9.140625" style="15"/>
    <col min="4076" max="4076" width="15.28515625" style="15" customWidth="1"/>
    <col min="4077" max="4077" width="10.140625" style="15" customWidth="1"/>
    <col min="4078" max="4078" width="7.28515625" style="15" customWidth="1"/>
    <col min="4079" max="4079" width="68.7109375" style="15" customWidth="1"/>
    <col min="4080" max="4080" width="15" style="15" customWidth="1"/>
    <col min="4081" max="4081" width="14.140625" style="15" bestFit="1" customWidth="1"/>
    <col min="4082" max="4082" width="16.5703125" style="15" customWidth="1"/>
    <col min="4083" max="4084" width="9.140625" style="15"/>
    <col min="4085" max="4085" width="8.7109375" style="15" customWidth="1"/>
    <col min="4086" max="4331" width="9.140625" style="15"/>
    <col min="4332" max="4332" width="15.28515625" style="15" customWidth="1"/>
    <col min="4333" max="4333" width="10.140625" style="15" customWidth="1"/>
    <col min="4334" max="4334" width="7.28515625" style="15" customWidth="1"/>
    <col min="4335" max="4335" width="68.7109375" style="15" customWidth="1"/>
    <col min="4336" max="4336" width="15" style="15" customWidth="1"/>
    <col min="4337" max="4337" width="14.140625" style="15" bestFit="1" customWidth="1"/>
    <col min="4338" max="4338" width="16.5703125" style="15" customWidth="1"/>
    <col min="4339" max="4340" width="9.140625" style="15"/>
    <col min="4341" max="4341" width="8.7109375" style="15" customWidth="1"/>
    <col min="4342" max="4587" width="9.140625" style="15"/>
    <col min="4588" max="4588" width="15.28515625" style="15" customWidth="1"/>
    <col min="4589" max="4589" width="10.140625" style="15" customWidth="1"/>
    <col min="4590" max="4590" width="7.28515625" style="15" customWidth="1"/>
    <col min="4591" max="4591" width="68.7109375" style="15" customWidth="1"/>
    <col min="4592" max="4592" width="15" style="15" customWidth="1"/>
    <col min="4593" max="4593" width="14.140625" style="15" bestFit="1" customWidth="1"/>
    <col min="4594" max="4594" width="16.5703125" style="15" customWidth="1"/>
    <col min="4595" max="4596" width="9.140625" style="15"/>
    <col min="4597" max="4597" width="8.7109375" style="15" customWidth="1"/>
    <col min="4598" max="4843" width="9.140625" style="15"/>
    <col min="4844" max="4844" width="15.28515625" style="15" customWidth="1"/>
    <col min="4845" max="4845" width="10.140625" style="15" customWidth="1"/>
    <col min="4846" max="4846" width="7.28515625" style="15" customWidth="1"/>
    <col min="4847" max="4847" width="68.7109375" style="15" customWidth="1"/>
    <col min="4848" max="4848" width="15" style="15" customWidth="1"/>
    <col min="4849" max="4849" width="14.140625" style="15" bestFit="1" customWidth="1"/>
    <col min="4850" max="4850" width="16.5703125" style="15" customWidth="1"/>
    <col min="4851" max="4852" width="9.140625" style="15"/>
    <col min="4853" max="4853" width="8.7109375" style="15" customWidth="1"/>
    <col min="4854" max="5099" width="9.140625" style="15"/>
    <col min="5100" max="5100" width="15.28515625" style="15" customWidth="1"/>
    <col min="5101" max="5101" width="10.140625" style="15" customWidth="1"/>
    <col min="5102" max="5102" width="7.28515625" style="15" customWidth="1"/>
    <col min="5103" max="5103" width="68.7109375" style="15" customWidth="1"/>
    <col min="5104" max="5104" width="15" style="15" customWidth="1"/>
    <col min="5105" max="5105" width="14.140625" style="15" bestFit="1" customWidth="1"/>
    <col min="5106" max="5106" width="16.5703125" style="15" customWidth="1"/>
    <col min="5107" max="5108" width="9.140625" style="15"/>
    <col min="5109" max="5109" width="8.7109375" style="15" customWidth="1"/>
    <col min="5110" max="5355" width="9.140625" style="15"/>
    <col min="5356" max="5356" width="15.28515625" style="15" customWidth="1"/>
    <col min="5357" max="5357" width="10.140625" style="15" customWidth="1"/>
    <col min="5358" max="5358" width="7.28515625" style="15" customWidth="1"/>
    <col min="5359" max="5359" width="68.7109375" style="15" customWidth="1"/>
    <col min="5360" max="5360" width="15" style="15" customWidth="1"/>
    <col min="5361" max="5361" width="14.140625" style="15" bestFit="1" customWidth="1"/>
    <col min="5362" max="5362" width="16.5703125" style="15" customWidth="1"/>
    <col min="5363" max="5364" width="9.140625" style="15"/>
    <col min="5365" max="5365" width="8.7109375" style="15" customWidth="1"/>
    <col min="5366" max="5611" width="9.140625" style="15"/>
    <col min="5612" max="5612" width="15.28515625" style="15" customWidth="1"/>
    <col min="5613" max="5613" width="10.140625" style="15" customWidth="1"/>
    <col min="5614" max="5614" width="7.28515625" style="15" customWidth="1"/>
    <col min="5615" max="5615" width="68.7109375" style="15" customWidth="1"/>
    <col min="5616" max="5616" width="15" style="15" customWidth="1"/>
    <col min="5617" max="5617" width="14.140625" style="15" bestFit="1" customWidth="1"/>
    <col min="5618" max="5618" width="16.5703125" style="15" customWidth="1"/>
    <col min="5619" max="5620" width="9.140625" style="15"/>
    <col min="5621" max="5621" width="8.7109375" style="15" customWidth="1"/>
    <col min="5622" max="5867" width="9.140625" style="15"/>
    <col min="5868" max="5868" width="15.28515625" style="15" customWidth="1"/>
    <col min="5869" max="5869" width="10.140625" style="15" customWidth="1"/>
    <col min="5870" max="5870" width="7.28515625" style="15" customWidth="1"/>
    <col min="5871" max="5871" width="68.7109375" style="15" customWidth="1"/>
    <col min="5872" max="5872" width="15" style="15" customWidth="1"/>
    <col min="5873" max="5873" width="14.140625" style="15" bestFit="1" customWidth="1"/>
    <col min="5874" max="5874" width="16.5703125" style="15" customWidth="1"/>
    <col min="5875" max="5876" width="9.140625" style="15"/>
    <col min="5877" max="5877" width="8.7109375" style="15" customWidth="1"/>
    <col min="5878" max="6123" width="9.140625" style="15"/>
    <col min="6124" max="6124" width="15.28515625" style="15" customWidth="1"/>
    <col min="6125" max="6125" width="10.140625" style="15" customWidth="1"/>
    <col min="6126" max="6126" width="7.28515625" style="15" customWidth="1"/>
    <col min="6127" max="6127" width="68.7109375" style="15" customWidth="1"/>
    <col min="6128" max="6128" width="15" style="15" customWidth="1"/>
    <col min="6129" max="6129" width="14.140625" style="15" bestFit="1" customWidth="1"/>
    <col min="6130" max="6130" width="16.5703125" style="15" customWidth="1"/>
    <col min="6131" max="6132" width="9.140625" style="15"/>
    <col min="6133" max="6133" width="8.7109375" style="15" customWidth="1"/>
    <col min="6134" max="6379" width="9.140625" style="15"/>
    <col min="6380" max="6380" width="15.28515625" style="15" customWidth="1"/>
    <col min="6381" max="6381" width="10.140625" style="15" customWidth="1"/>
    <col min="6382" max="6382" width="7.28515625" style="15" customWidth="1"/>
    <col min="6383" max="6383" width="68.7109375" style="15" customWidth="1"/>
    <col min="6384" max="6384" width="15" style="15" customWidth="1"/>
    <col min="6385" max="6385" width="14.140625" style="15" bestFit="1" customWidth="1"/>
    <col min="6386" max="6386" width="16.5703125" style="15" customWidth="1"/>
    <col min="6387" max="6388" width="9.140625" style="15"/>
    <col min="6389" max="6389" width="8.7109375" style="15" customWidth="1"/>
    <col min="6390" max="6635" width="9.140625" style="15"/>
    <col min="6636" max="6636" width="15.28515625" style="15" customWidth="1"/>
    <col min="6637" max="6637" width="10.140625" style="15" customWidth="1"/>
    <col min="6638" max="6638" width="7.28515625" style="15" customWidth="1"/>
    <col min="6639" max="6639" width="68.7109375" style="15" customWidth="1"/>
    <col min="6640" max="6640" width="15" style="15" customWidth="1"/>
    <col min="6641" max="6641" width="14.140625" style="15" bestFit="1" customWidth="1"/>
    <col min="6642" max="6642" width="16.5703125" style="15" customWidth="1"/>
    <col min="6643" max="6644" width="9.140625" style="15"/>
    <col min="6645" max="6645" width="8.7109375" style="15" customWidth="1"/>
    <col min="6646" max="6891" width="9.140625" style="15"/>
    <col min="6892" max="6892" width="15.28515625" style="15" customWidth="1"/>
    <col min="6893" max="6893" width="10.140625" style="15" customWidth="1"/>
    <col min="6894" max="6894" width="7.28515625" style="15" customWidth="1"/>
    <col min="6895" max="6895" width="68.7109375" style="15" customWidth="1"/>
    <col min="6896" max="6896" width="15" style="15" customWidth="1"/>
    <col min="6897" max="6897" width="14.140625" style="15" bestFit="1" customWidth="1"/>
    <col min="6898" max="6898" width="16.5703125" style="15" customWidth="1"/>
    <col min="6899" max="6900" width="9.140625" style="15"/>
    <col min="6901" max="6901" width="8.7109375" style="15" customWidth="1"/>
    <col min="6902" max="7147" width="9.140625" style="15"/>
    <col min="7148" max="7148" width="15.28515625" style="15" customWidth="1"/>
    <col min="7149" max="7149" width="10.140625" style="15" customWidth="1"/>
    <col min="7150" max="7150" width="7.28515625" style="15" customWidth="1"/>
    <col min="7151" max="7151" width="68.7109375" style="15" customWidth="1"/>
    <col min="7152" max="7152" width="15" style="15" customWidth="1"/>
    <col min="7153" max="7153" width="14.140625" style="15" bestFit="1" customWidth="1"/>
    <col min="7154" max="7154" width="16.5703125" style="15" customWidth="1"/>
    <col min="7155" max="7156" width="9.140625" style="15"/>
    <col min="7157" max="7157" width="8.7109375" style="15" customWidth="1"/>
    <col min="7158" max="7403" width="9.140625" style="15"/>
    <col min="7404" max="7404" width="15.28515625" style="15" customWidth="1"/>
    <col min="7405" max="7405" width="10.140625" style="15" customWidth="1"/>
    <col min="7406" max="7406" width="7.28515625" style="15" customWidth="1"/>
    <col min="7407" max="7407" width="68.7109375" style="15" customWidth="1"/>
    <col min="7408" max="7408" width="15" style="15" customWidth="1"/>
    <col min="7409" max="7409" width="14.140625" style="15" bestFit="1" customWidth="1"/>
    <col min="7410" max="7410" width="16.5703125" style="15" customWidth="1"/>
    <col min="7411" max="7412" width="9.140625" style="15"/>
    <col min="7413" max="7413" width="8.7109375" style="15" customWidth="1"/>
    <col min="7414" max="7659" width="9.140625" style="15"/>
    <col min="7660" max="7660" width="15.28515625" style="15" customWidth="1"/>
    <col min="7661" max="7661" width="10.140625" style="15" customWidth="1"/>
    <col min="7662" max="7662" width="7.28515625" style="15" customWidth="1"/>
    <col min="7663" max="7663" width="68.7109375" style="15" customWidth="1"/>
    <col min="7664" max="7664" width="15" style="15" customWidth="1"/>
    <col min="7665" max="7665" width="14.140625" style="15" bestFit="1" customWidth="1"/>
    <col min="7666" max="7666" width="16.5703125" style="15" customWidth="1"/>
    <col min="7667" max="7668" width="9.140625" style="15"/>
    <col min="7669" max="7669" width="8.7109375" style="15" customWidth="1"/>
    <col min="7670" max="7915" width="9.140625" style="15"/>
    <col min="7916" max="7916" width="15.28515625" style="15" customWidth="1"/>
    <col min="7917" max="7917" width="10.140625" style="15" customWidth="1"/>
    <col min="7918" max="7918" width="7.28515625" style="15" customWidth="1"/>
    <col min="7919" max="7919" width="68.7109375" style="15" customWidth="1"/>
    <col min="7920" max="7920" width="15" style="15" customWidth="1"/>
    <col min="7921" max="7921" width="14.140625" style="15" bestFit="1" customWidth="1"/>
    <col min="7922" max="7922" width="16.5703125" style="15" customWidth="1"/>
    <col min="7923" max="7924" width="9.140625" style="15"/>
    <col min="7925" max="7925" width="8.7109375" style="15" customWidth="1"/>
    <col min="7926" max="8171" width="9.140625" style="15"/>
    <col min="8172" max="8172" width="15.28515625" style="15" customWidth="1"/>
    <col min="8173" max="8173" width="10.140625" style="15" customWidth="1"/>
    <col min="8174" max="8174" width="7.28515625" style="15" customWidth="1"/>
    <col min="8175" max="8175" width="68.7109375" style="15" customWidth="1"/>
    <col min="8176" max="8176" width="15" style="15" customWidth="1"/>
    <col min="8177" max="8177" width="14.140625" style="15" bestFit="1" customWidth="1"/>
    <col min="8178" max="8178" width="16.5703125" style="15" customWidth="1"/>
    <col min="8179" max="8180" width="9.140625" style="15"/>
    <col min="8181" max="8181" width="8.7109375" style="15" customWidth="1"/>
    <col min="8182" max="8427" width="9.140625" style="15"/>
    <col min="8428" max="8428" width="15.28515625" style="15" customWidth="1"/>
    <col min="8429" max="8429" width="10.140625" style="15" customWidth="1"/>
    <col min="8430" max="8430" width="7.28515625" style="15" customWidth="1"/>
    <col min="8431" max="8431" width="68.7109375" style="15" customWidth="1"/>
    <col min="8432" max="8432" width="15" style="15" customWidth="1"/>
    <col min="8433" max="8433" width="14.140625" style="15" bestFit="1" customWidth="1"/>
    <col min="8434" max="8434" width="16.5703125" style="15" customWidth="1"/>
    <col min="8435" max="8436" width="9.140625" style="15"/>
    <col min="8437" max="8437" width="8.7109375" style="15" customWidth="1"/>
    <col min="8438" max="8683" width="9.140625" style="15"/>
    <col min="8684" max="8684" width="15.28515625" style="15" customWidth="1"/>
    <col min="8685" max="8685" width="10.140625" style="15" customWidth="1"/>
    <col min="8686" max="8686" width="7.28515625" style="15" customWidth="1"/>
    <col min="8687" max="8687" width="68.7109375" style="15" customWidth="1"/>
    <col min="8688" max="8688" width="15" style="15" customWidth="1"/>
    <col min="8689" max="8689" width="14.140625" style="15" bestFit="1" customWidth="1"/>
    <col min="8690" max="8690" width="16.5703125" style="15" customWidth="1"/>
    <col min="8691" max="8692" width="9.140625" style="15"/>
    <col min="8693" max="8693" width="8.7109375" style="15" customWidth="1"/>
    <col min="8694" max="8939" width="9.140625" style="15"/>
    <col min="8940" max="8940" width="15.28515625" style="15" customWidth="1"/>
    <col min="8941" max="8941" width="10.140625" style="15" customWidth="1"/>
    <col min="8942" max="8942" width="7.28515625" style="15" customWidth="1"/>
    <col min="8943" max="8943" width="68.7109375" style="15" customWidth="1"/>
    <col min="8944" max="8944" width="15" style="15" customWidth="1"/>
    <col min="8945" max="8945" width="14.140625" style="15" bestFit="1" customWidth="1"/>
    <col min="8946" max="8946" width="16.5703125" style="15" customWidth="1"/>
    <col min="8947" max="8948" width="9.140625" style="15"/>
    <col min="8949" max="8949" width="8.7109375" style="15" customWidth="1"/>
    <col min="8950" max="9195" width="9.140625" style="15"/>
    <col min="9196" max="9196" width="15.28515625" style="15" customWidth="1"/>
    <col min="9197" max="9197" width="10.140625" style="15" customWidth="1"/>
    <col min="9198" max="9198" width="7.28515625" style="15" customWidth="1"/>
    <col min="9199" max="9199" width="68.7109375" style="15" customWidth="1"/>
    <col min="9200" max="9200" width="15" style="15" customWidth="1"/>
    <col min="9201" max="9201" width="14.140625" style="15" bestFit="1" customWidth="1"/>
    <col min="9202" max="9202" width="16.5703125" style="15" customWidth="1"/>
    <col min="9203" max="9204" width="9.140625" style="15"/>
    <col min="9205" max="9205" width="8.7109375" style="15" customWidth="1"/>
    <col min="9206" max="9451" width="9.140625" style="15"/>
    <col min="9452" max="9452" width="15.28515625" style="15" customWidth="1"/>
    <col min="9453" max="9453" width="10.140625" style="15" customWidth="1"/>
    <col min="9454" max="9454" width="7.28515625" style="15" customWidth="1"/>
    <col min="9455" max="9455" width="68.7109375" style="15" customWidth="1"/>
    <col min="9456" max="9456" width="15" style="15" customWidth="1"/>
    <col min="9457" max="9457" width="14.140625" style="15" bestFit="1" customWidth="1"/>
    <col min="9458" max="9458" width="16.5703125" style="15" customWidth="1"/>
    <col min="9459" max="9460" width="9.140625" style="15"/>
    <col min="9461" max="9461" width="8.7109375" style="15" customWidth="1"/>
    <col min="9462" max="9707" width="9.140625" style="15"/>
    <col min="9708" max="9708" width="15.28515625" style="15" customWidth="1"/>
    <col min="9709" max="9709" width="10.140625" style="15" customWidth="1"/>
    <col min="9710" max="9710" width="7.28515625" style="15" customWidth="1"/>
    <col min="9711" max="9711" width="68.7109375" style="15" customWidth="1"/>
    <col min="9712" max="9712" width="15" style="15" customWidth="1"/>
    <col min="9713" max="9713" width="14.140625" style="15" bestFit="1" customWidth="1"/>
    <col min="9714" max="9714" width="16.5703125" style="15" customWidth="1"/>
    <col min="9715" max="9716" width="9.140625" style="15"/>
    <col min="9717" max="9717" width="8.7109375" style="15" customWidth="1"/>
    <col min="9718" max="9963" width="9.140625" style="15"/>
    <col min="9964" max="9964" width="15.28515625" style="15" customWidth="1"/>
    <col min="9965" max="9965" width="10.140625" style="15" customWidth="1"/>
    <col min="9966" max="9966" width="7.28515625" style="15" customWidth="1"/>
    <col min="9967" max="9967" width="68.7109375" style="15" customWidth="1"/>
    <col min="9968" max="9968" width="15" style="15" customWidth="1"/>
    <col min="9969" max="9969" width="14.140625" style="15" bestFit="1" customWidth="1"/>
    <col min="9970" max="9970" width="16.5703125" style="15" customWidth="1"/>
    <col min="9971" max="9972" width="9.140625" style="15"/>
    <col min="9973" max="9973" width="8.7109375" style="15" customWidth="1"/>
    <col min="9974" max="10219" width="9.140625" style="15"/>
    <col min="10220" max="10220" width="15.28515625" style="15" customWidth="1"/>
    <col min="10221" max="10221" width="10.140625" style="15" customWidth="1"/>
    <col min="10222" max="10222" width="7.28515625" style="15" customWidth="1"/>
    <col min="10223" max="10223" width="68.7109375" style="15" customWidth="1"/>
    <col min="10224" max="10224" width="15" style="15" customWidth="1"/>
    <col min="10225" max="10225" width="14.140625" style="15" bestFit="1" customWidth="1"/>
    <col min="10226" max="10226" width="16.5703125" style="15" customWidth="1"/>
    <col min="10227" max="10228" width="9.140625" style="15"/>
    <col min="10229" max="10229" width="8.7109375" style="15" customWidth="1"/>
    <col min="10230" max="10475" width="9.140625" style="15"/>
    <col min="10476" max="10476" width="15.28515625" style="15" customWidth="1"/>
    <col min="10477" max="10477" width="10.140625" style="15" customWidth="1"/>
    <col min="10478" max="10478" width="7.28515625" style="15" customWidth="1"/>
    <col min="10479" max="10479" width="68.7109375" style="15" customWidth="1"/>
    <col min="10480" max="10480" width="15" style="15" customWidth="1"/>
    <col min="10481" max="10481" width="14.140625" style="15" bestFit="1" customWidth="1"/>
    <col min="10482" max="10482" width="16.5703125" style="15" customWidth="1"/>
    <col min="10483" max="10484" width="9.140625" style="15"/>
    <col min="10485" max="10485" width="8.7109375" style="15" customWidth="1"/>
    <col min="10486" max="10731" width="9.140625" style="15"/>
    <col min="10732" max="10732" width="15.28515625" style="15" customWidth="1"/>
    <col min="10733" max="10733" width="10.140625" style="15" customWidth="1"/>
    <col min="10734" max="10734" width="7.28515625" style="15" customWidth="1"/>
    <col min="10735" max="10735" width="68.7109375" style="15" customWidth="1"/>
    <col min="10736" max="10736" width="15" style="15" customWidth="1"/>
    <col min="10737" max="10737" width="14.140625" style="15" bestFit="1" customWidth="1"/>
    <col min="10738" max="10738" width="16.5703125" style="15" customWidth="1"/>
    <col min="10739" max="10740" width="9.140625" style="15"/>
    <col min="10741" max="10741" width="8.7109375" style="15" customWidth="1"/>
    <col min="10742" max="10987" width="9.140625" style="15"/>
    <col min="10988" max="10988" width="15.28515625" style="15" customWidth="1"/>
    <col min="10989" max="10989" width="10.140625" style="15" customWidth="1"/>
    <col min="10990" max="10990" width="7.28515625" style="15" customWidth="1"/>
    <col min="10991" max="10991" width="68.7109375" style="15" customWidth="1"/>
    <col min="10992" max="10992" width="15" style="15" customWidth="1"/>
    <col min="10993" max="10993" width="14.140625" style="15" bestFit="1" customWidth="1"/>
    <col min="10994" max="10994" width="16.5703125" style="15" customWidth="1"/>
    <col min="10995" max="10996" width="9.140625" style="15"/>
    <col min="10997" max="10997" width="8.7109375" style="15" customWidth="1"/>
    <col min="10998" max="11243" width="9.140625" style="15"/>
    <col min="11244" max="11244" width="15.28515625" style="15" customWidth="1"/>
    <col min="11245" max="11245" width="10.140625" style="15" customWidth="1"/>
    <col min="11246" max="11246" width="7.28515625" style="15" customWidth="1"/>
    <col min="11247" max="11247" width="68.7109375" style="15" customWidth="1"/>
    <col min="11248" max="11248" width="15" style="15" customWidth="1"/>
    <col min="11249" max="11249" width="14.140625" style="15" bestFit="1" customWidth="1"/>
    <col min="11250" max="11250" width="16.5703125" style="15" customWidth="1"/>
    <col min="11251" max="11252" width="9.140625" style="15"/>
    <col min="11253" max="11253" width="8.7109375" style="15" customWidth="1"/>
    <col min="11254" max="11499" width="9.140625" style="15"/>
    <col min="11500" max="11500" width="15.28515625" style="15" customWidth="1"/>
    <col min="11501" max="11501" width="10.140625" style="15" customWidth="1"/>
    <col min="11502" max="11502" width="7.28515625" style="15" customWidth="1"/>
    <col min="11503" max="11503" width="68.7109375" style="15" customWidth="1"/>
    <col min="11504" max="11504" width="15" style="15" customWidth="1"/>
    <col min="11505" max="11505" width="14.140625" style="15" bestFit="1" customWidth="1"/>
    <col min="11506" max="11506" width="16.5703125" style="15" customWidth="1"/>
    <col min="11507" max="11508" width="9.140625" style="15"/>
    <col min="11509" max="11509" width="8.7109375" style="15" customWidth="1"/>
    <col min="11510" max="11755" width="9.140625" style="15"/>
    <col min="11756" max="11756" width="15.28515625" style="15" customWidth="1"/>
    <col min="11757" max="11757" width="10.140625" style="15" customWidth="1"/>
    <col min="11758" max="11758" width="7.28515625" style="15" customWidth="1"/>
    <col min="11759" max="11759" width="68.7109375" style="15" customWidth="1"/>
    <col min="11760" max="11760" width="15" style="15" customWidth="1"/>
    <col min="11761" max="11761" width="14.140625" style="15" bestFit="1" customWidth="1"/>
    <col min="11762" max="11762" width="16.5703125" style="15" customWidth="1"/>
    <col min="11763" max="11764" width="9.140625" style="15"/>
    <col min="11765" max="11765" width="8.7109375" style="15" customWidth="1"/>
    <col min="11766" max="12011" width="9.140625" style="15"/>
    <col min="12012" max="12012" width="15.28515625" style="15" customWidth="1"/>
    <col min="12013" max="12013" width="10.140625" style="15" customWidth="1"/>
    <col min="12014" max="12014" width="7.28515625" style="15" customWidth="1"/>
    <col min="12015" max="12015" width="68.7109375" style="15" customWidth="1"/>
    <col min="12016" max="12016" width="15" style="15" customWidth="1"/>
    <col min="12017" max="12017" width="14.140625" style="15" bestFit="1" customWidth="1"/>
    <col min="12018" max="12018" width="16.5703125" style="15" customWidth="1"/>
    <col min="12019" max="12020" width="9.140625" style="15"/>
    <col min="12021" max="12021" width="8.7109375" style="15" customWidth="1"/>
    <col min="12022" max="12267" width="9.140625" style="15"/>
    <col min="12268" max="12268" width="15.28515625" style="15" customWidth="1"/>
    <col min="12269" max="12269" width="10.140625" style="15" customWidth="1"/>
    <col min="12270" max="12270" width="7.28515625" style="15" customWidth="1"/>
    <col min="12271" max="12271" width="68.7109375" style="15" customWidth="1"/>
    <col min="12272" max="12272" width="15" style="15" customWidth="1"/>
    <col min="12273" max="12273" width="14.140625" style="15" bestFit="1" customWidth="1"/>
    <col min="12274" max="12274" width="16.5703125" style="15" customWidth="1"/>
    <col min="12275" max="12276" width="9.140625" style="15"/>
    <col min="12277" max="12277" width="8.7109375" style="15" customWidth="1"/>
    <col min="12278" max="12523" width="9.140625" style="15"/>
    <col min="12524" max="12524" width="15.28515625" style="15" customWidth="1"/>
    <col min="12525" max="12525" width="10.140625" style="15" customWidth="1"/>
    <col min="12526" max="12526" width="7.28515625" style="15" customWidth="1"/>
    <col min="12527" max="12527" width="68.7109375" style="15" customWidth="1"/>
    <col min="12528" max="12528" width="15" style="15" customWidth="1"/>
    <col min="12529" max="12529" width="14.140625" style="15" bestFit="1" customWidth="1"/>
    <col min="12530" max="12530" width="16.5703125" style="15" customWidth="1"/>
    <col min="12531" max="12532" width="9.140625" style="15"/>
    <col min="12533" max="12533" width="8.7109375" style="15" customWidth="1"/>
    <col min="12534" max="12779" width="9.140625" style="15"/>
    <col min="12780" max="12780" width="15.28515625" style="15" customWidth="1"/>
    <col min="12781" max="12781" width="10.140625" style="15" customWidth="1"/>
    <col min="12782" max="12782" width="7.28515625" style="15" customWidth="1"/>
    <col min="12783" max="12783" width="68.7109375" style="15" customWidth="1"/>
    <col min="12784" max="12784" width="15" style="15" customWidth="1"/>
    <col min="12785" max="12785" width="14.140625" style="15" bestFit="1" customWidth="1"/>
    <col min="12786" max="12786" width="16.5703125" style="15" customWidth="1"/>
    <col min="12787" max="12788" width="9.140625" style="15"/>
    <col min="12789" max="12789" width="8.7109375" style="15" customWidth="1"/>
    <col min="12790" max="13035" width="9.140625" style="15"/>
    <col min="13036" max="13036" width="15.28515625" style="15" customWidth="1"/>
    <col min="13037" max="13037" width="10.140625" style="15" customWidth="1"/>
    <col min="13038" max="13038" width="7.28515625" style="15" customWidth="1"/>
    <col min="13039" max="13039" width="68.7109375" style="15" customWidth="1"/>
    <col min="13040" max="13040" width="15" style="15" customWidth="1"/>
    <col min="13041" max="13041" width="14.140625" style="15" bestFit="1" customWidth="1"/>
    <col min="13042" max="13042" width="16.5703125" style="15" customWidth="1"/>
    <col min="13043" max="13044" width="9.140625" style="15"/>
    <col min="13045" max="13045" width="8.7109375" style="15" customWidth="1"/>
    <col min="13046" max="13291" width="9.140625" style="15"/>
    <col min="13292" max="13292" width="15.28515625" style="15" customWidth="1"/>
    <col min="13293" max="13293" width="10.140625" style="15" customWidth="1"/>
    <col min="13294" max="13294" width="7.28515625" style="15" customWidth="1"/>
    <col min="13295" max="13295" width="68.7109375" style="15" customWidth="1"/>
    <col min="13296" max="13296" width="15" style="15" customWidth="1"/>
    <col min="13297" max="13297" width="14.140625" style="15" bestFit="1" customWidth="1"/>
    <col min="13298" max="13298" width="16.5703125" style="15" customWidth="1"/>
    <col min="13299" max="13300" width="9.140625" style="15"/>
    <col min="13301" max="13301" width="8.7109375" style="15" customWidth="1"/>
    <col min="13302" max="13547" width="9.140625" style="15"/>
    <col min="13548" max="13548" width="15.28515625" style="15" customWidth="1"/>
    <col min="13549" max="13549" width="10.140625" style="15" customWidth="1"/>
    <col min="13550" max="13550" width="7.28515625" style="15" customWidth="1"/>
    <col min="13551" max="13551" width="68.7109375" style="15" customWidth="1"/>
    <col min="13552" max="13552" width="15" style="15" customWidth="1"/>
    <col min="13553" max="13553" width="14.140625" style="15" bestFit="1" customWidth="1"/>
    <col min="13554" max="13554" width="16.5703125" style="15" customWidth="1"/>
    <col min="13555" max="13556" width="9.140625" style="15"/>
    <col min="13557" max="13557" width="8.7109375" style="15" customWidth="1"/>
    <col min="13558" max="13803" width="9.140625" style="15"/>
    <col min="13804" max="13804" width="15.28515625" style="15" customWidth="1"/>
    <col min="13805" max="13805" width="10.140625" style="15" customWidth="1"/>
    <col min="13806" max="13806" width="7.28515625" style="15" customWidth="1"/>
    <col min="13807" max="13807" width="68.7109375" style="15" customWidth="1"/>
    <col min="13808" max="13808" width="15" style="15" customWidth="1"/>
    <col min="13809" max="13809" width="14.140625" style="15" bestFit="1" customWidth="1"/>
    <col min="13810" max="13810" width="16.5703125" style="15" customWidth="1"/>
    <col min="13811" max="13812" width="9.140625" style="15"/>
    <col min="13813" max="13813" width="8.7109375" style="15" customWidth="1"/>
    <col min="13814" max="14059" width="9.140625" style="15"/>
    <col min="14060" max="14060" width="15.28515625" style="15" customWidth="1"/>
    <col min="14061" max="14061" width="10.140625" style="15" customWidth="1"/>
    <col min="14062" max="14062" width="7.28515625" style="15" customWidth="1"/>
    <col min="14063" max="14063" width="68.7109375" style="15" customWidth="1"/>
    <col min="14064" max="14064" width="15" style="15" customWidth="1"/>
    <col min="14065" max="14065" width="14.140625" style="15" bestFit="1" customWidth="1"/>
    <col min="14066" max="14066" width="16.5703125" style="15" customWidth="1"/>
    <col min="14067" max="14068" width="9.140625" style="15"/>
    <col min="14069" max="14069" width="8.7109375" style="15" customWidth="1"/>
    <col min="14070" max="14315" width="9.140625" style="15"/>
    <col min="14316" max="14316" width="15.28515625" style="15" customWidth="1"/>
    <col min="14317" max="14317" width="10.140625" style="15" customWidth="1"/>
    <col min="14318" max="14318" width="7.28515625" style="15" customWidth="1"/>
    <col min="14319" max="14319" width="68.7109375" style="15" customWidth="1"/>
    <col min="14320" max="14320" width="15" style="15" customWidth="1"/>
    <col min="14321" max="14321" width="14.140625" style="15" bestFit="1" customWidth="1"/>
    <col min="14322" max="14322" width="16.5703125" style="15" customWidth="1"/>
    <col min="14323" max="14324" width="9.140625" style="15"/>
    <col min="14325" max="14325" width="8.7109375" style="15" customWidth="1"/>
    <col min="14326" max="14571" width="9.140625" style="15"/>
    <col min="14572" max="14572" width="15.28515625" style="15" customWidth="1"/>
    <col min="14573" max="14573" width="10.140625" style="15" customWidth="1"/>
    <col min="14574" max="14574" width="7.28515625" style="15" customWidth="1"/>
    <col min="14575" max="14575" width="68.7109375" style="15" customWidth="1"/>
    <col min="14576" max="14576" width="15" style="15" customWidth="1"/>
    <col min="14577" max="14577" width="14.140625" style="15" bestFit="1" customWidth="1"/>
    <col min="14578" max="14578" width="16.5703125" style="15" customWidth="1"/>
    <col min="14579" max="14580" width="9.140625" style="15"/>
    <col min="14581" max="14581" width="8.7109375" style="15" customWidth="1"/>
    <col min="14582" max="14827" width="9.140625" style="15"/>
    <col min="14828" max="14828" width="15.28515625" style="15" customWidth="1"/>
    <col min="14829" max="14829" width="10.140625" style="15" customWidth="1"/>
    <col min="14830" max="14830" width="7.28515625" style="15" customWidth="1"/>
    <col min="14831" max="14831" width="68.7109375" style="15" customWidth="1"/>
    <col min="14832" max="14832" width="15" style="15" customWidth="1"/>
    <col min="14833" max="14833" width="14.140625" style="15" bestFit="1" customWidth="1"/>
    <col min="14834" max="14834" width="16.5703125" style="15" customWidth="1"/>
    <col min="14835" max="14836" width="9.140625" style="15"/>
    <col min="14837" max="14837" width="8.7109375" style="15" customWidth="1"/>
    <col min="14838" max="15083" width="9.140625" style="15"/>
    <col min="15084" max="15084" width="15.28515625" style="15" customWidth="1"/>
    <col min="15085" max="15085" width="10.140625" style="15" customWidth="1"/>
    <col min="15086" max="15086" width="7.28515625" style="15" customWidth="1"/>
    <col min="15087" max="15087" width="68.7109375" style="15" customWidth="1"/>
    <col min="15088" max="15088" width="15" style="15" customWidth="1"/>
    <col min="15089" max="15089" width="14.140625" style="15" bestFit="1" customWidth="1"/>
    <col min="15090" max="15090" width="16.5703125" style="15" customWidth="1"/>
    <col min="15091" max="15092" width="9.140625" style="15"/>
    <col min="15093" max="15093" width="8.7109375" style="15" customWidth="1"/>
    <col min="15094" max="15339" width="9.140625" style="15"/>
    <col min="15340" max="15340" width="15.28515625" style="15" customWidth="1"/>
    <col min="15341" max="15341" width="10.140625" style="15" customWidth="1"/>
    <col min="15342" max="15342" width="7.28515625" style="15" customWidth="1"/>
    <col min="15343" max="15343" width="68.7109375" style="15" customWidth="1"/>
    <col min="15344" max="15344" width="15" style="15" customWidth="1"/>
    <col min="15345" max="15345" width="14.140625" style="15" bestFit="1" customWidth="1"/>
    <col min="15346" max="15346" width="16.5703125" style="15" customWidth="1"/>
    <col min="15347" max="15348" width="9.140625" style="15"/>
    <col min="15349" max="15349" width="8.7109375" style="15" customWidth="1"/>
    <col min="15350" max="15595" width="9.140625" style="15"/>
    <col min="15596" max="15596" width="15.28515625" style="15" customWidth="1"/>
    <col min="15597" max="15597" width="10.140625" style="15" customWidth="1"/>
    <col min="15598" max="15598" width="7.28515625" style="15" customWidth="1"/>
    <col min="15599" max="15599" width="68.7109375" style="15" customWidth="1"/>
    <col min="15600" max="15600" width="15" style="15" customWidth="1"/>
    <col min="15601" max="15601" width="14.140625" style="15" bestFit="1" customWidth="1"/>
    <col min="15602" max="15602" width="16.5703125" style="15" customWidth="1"/>
    <col min="15603" max="15604" width="9.140625" style="15"/>
    <col min="15605" max="15605" width="8.7109375" style="15" customWidth="1"/>
    <col min="15606" max="15851" width="9.140625" style="15"/>
    <col min="15852" max="15852" width="15.28515625" style="15" customWidth="1"/>
    <col min="15853" max="15853" width="10.140625" style="15" customWidth="1"/>
    <col min="15854" max="15854" width="7.28515625" style="15" customWidth="1"/>
    <col min="15855" max="15855" width="68.7109375" style="15" customWidth="1"/>
    <col min="15856" max="15856" width="15" style="15" customWidth="1"/>
    <col min="15857" max="15857" width="14.140625" style="15" bestFit="1" customWidth="1"/>
    <col min="15858" max="15858" width="16.5703125" style="15" customWidth="1"/>
    <col min="15859" max="15860" width="9.140625" style="15"/>
    <col min="15861" max="15861" width="8.7109375" style="15" customWidth="1"/>
    <col min="15862" max="16107" width="9.140625" style="15"/>
    <col min="16108" max="16108" width="15.28515625" style="15" customWidth="1"/>
    <col min="16109" max="16109" width="10.140625" style="15" customWidth="1"/>
    <col min="16110" max="16110" width="7.28515625" style="15" customWidth="1"/>
    <col min="16111" max="16111" width="68.7109375" style="15" customWidth="1"/>
    <col min="16112" max="16112" width="15" style="15" customWidth="1"/>
    <col min="16113" max="16113" width="14.140625" style="15" bestFit="1" customWidth="1"/>
    <col min="16114" max="16114" width="16.5703125" style="15" customWidth="1"/>
    <col min="16115" max="16116" width="9.140625" style="15"/>
    <col min="16117" max="16117" width="8.7109375" style="15" customWidth="1"/>
    <col min="16118" max="16384" width="9.140625" style="15"/>
  </cols>
  <sheetData>
    <row r="1" spans="1:12" ht="22.5">
      <c r="A1" s="809" t="s">
        <v>74</v>
      </c>
      <c r="B1" s="810"/>
      <c r="C1" s="810"/>
      <c r="D1" s="810"/>
      <c r="E1" s="810"/>
      <c r="F1" s="810"/>
      <c r="G1" s="810"/>
      <c r="J1"/>
    </row>
    <row r="2" spans="1:12" s="2" customFormat="1" ht="23.25" thickBot="1">
      <c r="A2" s="811" t="s">
        <v>1615</v>
      </c>
      <c r="B2" s="812"/>
      <c r="C2" s="812"/>
      <c r="D2" s="812"/>
      <c r="E2" s="812"/>
      <c r="F2" s="812"/>
      <c r="G2" s="812"/>
      <c r="I2" s="128"/>
      <c r="J2" s="128"/>
      <c r="K2" s="128"/>
      <c r="L2" s="128"/>
    </row>
    <row r="3" spans="1:12" s="30" customFormat="1" ht="48.75" customHeight="1">
      <c r="A3" s="113" t="s">
        <v>186</v>
      </c>
      <c r="B3" s="114" t="s">
        <v>187</v>
      </c>
      <c r="C3" s="119" t="s">
        <v>77</v>
      </c>
      <c r="D3" s="114" t="s">
        <v>188</v>
      </c>
      <c r="E3" s="132" t="s">
        <v>189</v>
      </c>
      <c r="F3" s="115" t="s">
        <v>80</v>
      </c>
      <c r="G3" s="115" t="s">
        <v>81</v>
      </c>
    </row>
    <row r="4" spans="1:12" s="28" customFormat="1">
      <c r="A4" s="112" t="s">
        <v>1622</v>
      </c>
      <c r="B4" s="47" t="str">
        <f>CPU_!B3</f>
        <v>97632</v>
      </c>
      <c r="C4" s="46" t="str">
        <f>CPU_!C3</f>
        <v>DEMOLIÇÃO DE RODAPÉ CERÂMICO, DE FORMA MANUAL, SEM REAPROVEITAMENTO</v>
      </c>
      <c r="D4" s="45" t="str">
        <f>CPU_!D3</f>
        <v>M</v>
      </c>
      <c r="E4" s="133">
        <v>30</v>
      </c>
      <c r="F4" s="51">
        <f>CPU_!F3</f>
        <v>3.08</v>
      </c>
      <c r="G4" s="51">
        <f>ROUND(E4*F4,2)</f>
        <v>92.4</v>
      </c>
    </row>
    <row r="5" spans="1:12" s="28" customFormat="1">
      <c r="A5" s="112" t="s">
        <v>1623</v>
      </c>
      <c r="B5" s="47" t="str">
        <f>CPU_!B6</f>
        <v>97633</v>
      </c>
      <c r="C5" s="46" t="str">
        <f>CPU_!C6</f>
        <v>DEMOLIÇÃO DE REVESTIMENTO CERÂMICO, DE FORMA MANUAL, SEM REAPROVEITAMENTO</v>
      </c>
      <c r="D5" s="45" t="str">
        <f>CPU_!D6</f>
        <v>M2</v>
      </c>
      <c r="E5" s="133">
        <v>350</v>
      </c>
      <c r="F5" s="51">
        <f>CPU_!F6</f>
        <v>26.95</v>
      </c>
      <c r="G5" s="51">
        <f t="shared" ref="G5:G68" si="0">ROUND(E5*F5,2)</f>
        <v>9432.5</v>
      </c>
    </row>
    <row r="6" spans="1:12" s="28" customFormat="1">
      <c r="A6" s="112" t="s">
        <v>1624</v>
      </c>
      <c r="B6" s="47">
        <f>CPU_!B9</f>
        <v>87262</v>
      </c>
      <c r="C6" s="46" t="str">
        <f>CPU_!C9</f>
        <v xml:space="preserve">Revestimento de piso, tipo porcelanato - 1º subsolo - vestiarios, salas técnicas, etc </v>
      </c>
      <c r="D6" s="45" t="str">
        <f>CPU_!D9</f>
        <v>M2</v>
      </c>
      <c r="E6" s="133">
        <v>200</v>
      </c>
      <c r="F6" s="51">
        <f>CPU_!F9</f>
        <v>131.53</v>
      </c>
      <c r="G6" s="51">
        <f t="shared" si="0"/>
        <v>26306</v>
      </c>
    </row>
    <row r="7" spans="1:12" s="28" customFormat="1">
      <c r="A7" s="112" t="s">
        <v>1625</v>
      </c>
      <c r="B7" s="47">
        <f>CPU_!B15</f>
        <v>98671</v>
      </c>
      <c r="C7" s="46" t="str">
        <f>CPU_!C15</f>
        <v>Piso de granito dourado carioca flameado / polido</v>
      </c>
      <c r="D7" s="45" t="str">
        <f>CPU_!D15</f>
        <v>M2</v>
      </c>
      <c r="E7" s="133">
        <v>50</v>
      </c>
      <c r="F7" s="51">
        <f>CPU_!F15</f>
        <v>403.82</v>
      </c>
      <c r="G7" s="51">
        <f t="shared" si="0"/>
        <v>20191</v>
      </c>
    </row>
    <row r="8" spans="1:12" s="28" customFormat="1">
      <c r="A8" s="112" t="s">
        <v>1626</v>
      </c>
      <c r="B8" s="47">
        <f>CPU_!B21</f>
        <v>98671</v>
      </c>
      <c r="C8" s="46" t="str">
        <f>CPU_!C21</f>
        <v>Piso de Granito BRANCO POLAR flameado / polido</v>
      </c>
      <c r="D8" s="45" t="str">
        <f>CPU_!D21</f>
        <v>M2</v>
      </c>
      <c r="E8" s="133">
        <v>50</v>
      </c>
      <c r="F8" s="51">
        <f>CPU_!F21</f>
        <v>403.82</v>
      </c>
      <c r="G8" s="51">
        <f t="shared" si="0"/>
        <v>20191</v>
      </c>
    </row>
    <row r="9" spans="1:12" s="28" customFormat="1">
      <c r="A9" s="112" t="s">
        <v>1627</v>
      </c>
      <c r="B9" s="47" t="str">
        <f>CPU_!B27</f>
        <v>PRÓPRIA</v>
      </c>
      <c r="C9" s="46" t="str">
        <f>CPU_!C27</f>
        <v>Revestimento em placa vinílica de 50cm x 50cm - pavimento tipo</v>
      </c>
      <c r="D9" s="45" t="str">
        <f>CPU_!D27</f>
        <v>M2</v>
      </c>
      <c r="E9" s="133">
        <v>375</v>
      </c>
      <c r="F9" s="51">
        <f>CPU_!F27</f>
        <v>131.36847</v>
      </c>
      <c r="G9" s="51">
        <f t="shared" si="0"/>
        <v>49263.18</v>
      </c>
    </row>
    <row r="10" spans="1:12" s="28" customFormat="1">
      <c r="A10" s="112" t="s">
        <v>1628</v>
      </c>
      <c r="B10" s="47" t="str">
        <f>CPU_!B34</f>
        <v>102494</v>
      </c>
      <c r="C10" s="46" t="str">
        <f>CPU_!C34</f>
        <v>PINTURA DE PISO COM TINTA EPÓXI, APLICAÇÃO MANUAL, 2 DEMÃOS, INCLUSO PRIMER EPÓXI.</v>
      </c>
      <c r="D10" s="45" t="str">
        <f>CPU_!D34</f>
        <v>M2</v>
      </c>
      <c r="E10" s="133">
        <v>185</v>
      </c>
      <c r="F10" s="51">
        <f>CPU_!F34</f>
        <v>75.67</v>
      </c>
      <c r="G10" s="51">
        <f t="shared" si="0"/>
        <v>13998.95</v>
      </c>
      <c r="H10" s="124"/>
    </row>
    <row r="11" spans="1:12" s="16" customFormat="1">
      <c r="A11" s="112" t="s">
        <v>1629</v>
      </c>
      <c r="B11" s="47" t="str">
        <f>CPU_!B41</f>
        <v>102496</v>
      </c>
      <c r="C11" s="46" t="str">
        <f>CPU_!C41</f>
        <v>PINTURA DE RODAPÉ COM TINTA EPÓXI, APLICAÇÃO MANUAL, 2 DEMÃOS, INCLUSÃO PRIMER EPÓXI</v>
      </c>
      <c r="D11" s="45" t="str">
        <f>CPU_!D41</f>
        <v>M</v>
      </c>
      <c r="E11" s="133">
        <v>95</v>
      </c>
      <c r="F11" s="51">
        <f>CPU_!F41</f>
        <v>15.87</v>
      </c>
      <c r="G11" s="51">
        <f t="shared" si="0"/>
        <v>1507.65</v>
      </c>
    </row>
    <row r="12" spans="1:12" s="16" customFormat="1">
      <c r="A12" s="112" t="s">
        <v>1630</v>
      </c>
      <c r="B12" s="47" t="str">
        <f>CPU_!B48</f>
        <v>102491</v>
      </c>
      <c r="C12" s="46" t="str">
        <f>CPU_!C48</f>
        <v>PINTURA DE PISO COM TINTA ACRÍLICA, APLICAÇÃO MANUAL, 2 DEMÃOS, INCLUSO FUNDO PREPARADOR</v>
      </c>
      <c r="D12" s="45" t="str">
        <f>CPU_!D48</f>
        <v>M2</v>
      </c>
      <c r="E12" s="133">
        <v>280</v>
      </c>
      <c r="F12" s="51">
        <f>CPU_!F48</f>
        <v>23.78</v>
      </c>
      <c r="G12" s="51">
        <f t="shared" si="0"/>
        <v>6658.4</v>
      </c>
    </row>
    <row r="13" spans="1:12" s="16" customFormat="1">
      <c r="A13" s="112" t="s">
        <v>1631</v>
      </c>
      <c r="B13" s="47" t="str">
        <f>CPU_!B54</f>
        <v>PROPRIA</v>
      </c>
      <c r="C13" s="46" t="str">
        <f>CPU_!C54</f>
        <v>RECUPERAÇÃO DE PISO ELEVADO</v>
      </c>
      <c r="D13" s="45" t="str">
        <f>CPU_!D54</f>
        <v>M2</v>
      </c>
      <c r="E13" s="133">
        <v>25</v>
      </c>
      <c r="F13" s="51">
        <f>CPU_!F54</f>
        <v>317.01490000000001</v>
      </c>
      <c r="G13" s="51">
        <f t="shared" si="0"/>
        <v>7925.37</v>
      </c>
    </row>
    <row r="14" spans="1:12" s="16" customFormat="1">
      <c r="A14" s="112" t="s">
        <v>1632</v>
      </c>
      <c r="B14" s="47" t="str">
        <f>CPU_!B58</f>
        <v>PROPRIA</v>
      </c>
      <c r="C14" s="46" t="str">
        <f>CPU_!C58</f>
        <v>PISO EM CARPETE - Plenário - inluindo retirada do anterior</v>
      </c>
      <c r="D14" s="45" t="str">
        <f>CPU_!D58</f>
        <v>M2</v>
      </c>
      <c r="E14" s="133">
        <v>290</v>
      </c>
      <c r="F14" s="51">
        <f>CPU_!F58</f>
        <v>266.99489999999997</v>
      </c>
      <c r="G14" s="51">
        <f t="shared" si="0"/>
        <v>77428.52</v>
      </c>
    </row>
    <row r="15" spans="1:12" s="16" customFormat="1">
      <c r="A15" s="112" t="s">
        <v>1633</v>
      </c>
      <c r="B15" s="47" t="str">
        <f>CPU_!B62</f>
        <v>PRÓPRIA</v>
      </c>
      <c r="C15" s="46" t="str">
        <f>CPU_!C62</f>
        <v>Execução de junta de dilatação com selante elástico monocomponente a base de poliuretano 1x1cm</v>
      </c>
      <c r="D15" s="45" t="str">
        <f>CPU_!D62</f>
        <v>M</v>
      </c>
      <c r="E15" s="133">
        <f>(6*8)+37</f>
        <v>85</v>
      </c>
      <c r="F15" s="51">
        <f>CPU_!F62</f>
        <v>80.84</v>
      </c>
      <c r="G15" s="51">
        <f t="shared" si="0"/>
        <v>6871.4</v>
      </c>
    </row>
    <row r="16" spans="1:12" s="16" customFormat="1">
      <c r="A16" s="112" t="s">
        <v>1634</v>
      </c>
      <c r="B16" s="47" t="str">
        <f>CPU_!B64</f>
        <v>98577</v>
      </c>
      <c r="C16" s="46" t="str">
        <f>CPU_!C64</f>
        <v>TRATAMENTO DE JUNTA SERRADA, COM TARUGO DE POLIETILENO E SELANTE À BASE DE SILICONE</v>
      </c>
      <c r="D16" s="45" t="str">
        <f>CPU_!D64</f>
        <v>M</v>
      </c>
      <c r="E16" s="133">
        <v>45</v>
      </c>
      <c r="F16" s="51">
        <f>CPU_!F64</f>
        <v>54.69</v>
      </c>
      <c r="G16" s="51">
        <f t="shared" si="0"/>
        <v>2461.0500000000002</v>
      </c>
    </row>
    <row r="17" spans="1:7" s="16" customFormat="1">
      <c r="A17" s="112" t="s">
        <v>1635</v>
      </c>
      <c r="B17" s="47">
        <f>CPU_!B69</f>
        <v>101094</v>
      </c>
      <c r="C17" s="46" t="str">
        <f>CPU_!C69</f>
        <v>PISO PODOTÁTIL DE ALERTA OU DIRECIONAL, DE BORRACHA, ASSENTADO SOBRE ARGAMASSA</v>
      </c>
      <c r="D17" s="45" t="str">
        <f>CPU_!D69</f>
        <v>M</v>
      </c>
      <c r="E17" s="133">
        <v>40</v>
      </c>
      <c r="F17" s="51">
        <f>CPU_!F69</f>
        <v>158.97</v>
      </c>
      <c r="G17" s="51">
        <f t="shared" si="0"/>
        <v>6358.8</v>
      </c>
    </row>
    <row r="18" spans="1:7" s="16" customFormat="1">
      <c r="A18" s="112" t="s">
        <v>1636</v>
      </c>
      <c r="B18" s="47" t="str">
        <f>CPU_!B75</f>
        <v>PROPRIA</v>
      </c>
      <c r="C18" s="46" t="str">
        <f>CPU_!C75</f>
        <v xml:space="preserve">Execução de Manutenção de MEMBRANA DE POLIURETANO PARA TRÁFEGO DE PEDESTRES </v>
      </c>
      <c r="D18" s="45" t="str">
        <f>CPU_!D75</f>
        <v>M2</v>
      </c>
      <c r="E18" s="133">
        <v>570</v>
      </c>
      <c r="F18" s="51">
        <f>CPU_!F75</f>
        <v>47.796500000000002</v>
      </c>
      <c r="G18" s="51">
        <f t="shared" si="0"/>
        <v>27244.01</v>
      </c>
    </row>
    <row r="19" spans="1:7" s="16" customFormat="1">
      <c r="A19" s="112" t="s">
        <v>1637</v>
      </c>
      <c r="B19" s="47" t="str">
        <f>CPU_!B79</f>
        <v>PROPRIA</v>
      </c>
      <c r="C19" s="46" t="str">
        <f>CPU_!C79</f>
        <v>Execução de manutenção de MEMBRANA DE POLIURETANO PARA TRÁFEGO DE VEÍCULOS</v>
      </c>
      <c r="D19" s="45" t="str">
        <f>CPU_!D79</f>
        <v>M2</v>
      </c>
      <c r="E19" s="133">
        <v>2500</v>
      </c>
      <c r="F19" s="51">
        <f>CPU_!F79</f>
        <v>44.442216000000002</v>
      </c>
      <c r="G19" s="51">
        <f t="shared" si="0"/>
        <v>111105.54</v>
      </c>
    </row>
    <row r="20" spans="1:7" s="16" customFormat="1">
      <c r="A20" s="112" t="s">
        <v>1638</v>
      </c>
      <c r="B20" s="47" t="str">
        <f>CPU_!B84</f>
        <v>96114</v>
      </c>
      <c r="C20" s="46" t="str">
        <f>CPU_!C84</f>
        <v>FORRO EM DRYWALL, PARA AMBIENTES COMERCIAIS, INCLUSIVE ESTRUTURA DE FIXAÇÃO</v>
      </c>
      <c r="D20" s="45" t="str">
        <f>CPU_!D84</f>
        <v>M2</v>
      </c>
      <c r="E20" s="133">
        <v>120</v>
      </c>
      <c r="F20" s="51">
        <f>CPU_!F84</f>
        <v>72.55</v>
      </c>
      <c r="G20" s="51">
        <f t="shared" si="0"/>
        <v>8706</v>
      </c>
    </row>
    <row r="21" spans="1:7" s="16" customFormat="1">
      <c r="A21" s="112" t="s">
        <v>1639</v>
      </c>
      <c r="B21" s="47">
        <f>CPU_!B96</f>
        <v>96116</v>
      </c>
      <c r="C21" s="46" t="str">
        <f>CPU_!C96</f>
        <v>FORRO EM RÉGUAS DE PVC, FRISADO, PARA AMBIENTES COMERCIAIS, INCLUSIVE ESTRUTURA DE FIXAÇÃO</v>
      </c>
      <c r="D21" s="45" t="str">
        <f>CPU_!D96</f>
        <v>M2</v>
      </c>
      <c r="E21" s="133">
        <v>20</v>
      </c>
      <c r="F21" s="51">
        <f>CPU_!F96</f>
        <v>64.37</v>
      </c>
      <c r="G21" s="51">
        <f t="shared" si="0"/>
        <v>1287.4000000000001</v>
      </c>
    </row>
    <row r="22" spans="1:7" s="16" customFormat="1">
      <c r="A22" s="112" t="s">
        <v>1640</v>
      </c>
      <c r="B22" s="47">
        <f>CPU_!B105</f>
        <v>96113</v>
      </c>
      <c r="C22" s="120" t="str">
        <f>CPU_!C105</f>
        <v>FORRO EM PLACAS DE GESSO, PARA AMBIENTES COMERCIAIS</v>
      </c>
      <c r="D22" s="47" t="str">
        <f>CPU_!D105</f>
        <v>M2</v>
      </c>
      <c r="E22" s="133">
        <v>150</v>
      </c>
      <c r="F22" s="51">
        <f>CPU_!F105</f>
        <v>50.83</v>
      </c>
      <c r="G22" s="51">
        <f t="shared" si="0"/>
        <v>7624.5</v>
      </c>
    </row>
    <row r="23" spans="1:7" s="16" customFormat="1">
      <c r="A23" s="112" t="s">
        <v>1641</v>
      </c>
      <c r="B23" s="47">
        <f>CPU_!B113</f>
        <v>96121</v>
      </c>
      <c r="C23" s="120" t="str">
        <f>CPU_!C113</f>
        <v>ACABAMENTOS PARA FORRO (RODA-FORRO EM PERFIL METÁLICO E PLÁSTICO)</v>
      </c>
      <c r="D23" s="47" t="str">
        <f>CPU_!D113</f>
        <v>M</v>
      </c>
      <c r="E23" s="133">
        <v>20</v>
      </c>
      <c r="F23" s="51">
        <f>CPU_!F113</f>
        <v>12.17</v>
      </c>
      <c r="G23" s="51">
        <f t="shared" si="0"/>
        <v>243.4</v>
      </c>
    </row>
    <row r="24" spans="1:7" s="16" customFormat="1" ht="31.5">
      <c r="A24" s="112" t="s">
        <v>1642</v>
      </c>
      <c r="B24" s="47" t="str">
        <f>CPU_!B118</f>
        <v>PROPRIA</v>
      </c>
      <c r="C24" s="46" t="str">
        <f>CPU_!C118</f>
        <v>AJUSTES E RECOLOCACO DE FORROS EM LAMBRIL DE MADEIRA DO REFEITÓRIO, CONSIDERANDO REAPROVEITAMENTO DO MATERIAL</v>
      </c>
      <c r="D24" s="45" t="str">
        <f>CPU_!D118</f>
        <v>M2</v>
      </c>
      <c r="E24" s="133">
        <v>100</v>
      </c>
      <c r="F24" s="51">
        <f>CPU_!F118</f>
        <v>40.366</v>
      </c>
      <c r="G24" s="51">
        <f t="shared" si="0"/>
        <v>4036.6</v>
      </c>
    </row>
    <row r="25" spans="1:7" s="16" customFormat="1">
      <c r="A25" s="112" t="s">
        <v>1643</v>
      </c>
      <c r="B25" s="47">
        <f>CPU_!B122</f>
        <v>96358</v>
      </c>
      <c r="C25" s="46" t="str">
        <f>CPU_!C122</f>
        <v>Parede de dry-wall - instalada (interna, guia simples, sem vão)</v>
      </c>
      <c r="D25" s="45" t="str">
        <f>CPU_!D122</f>
        <v>M2</v>
      </c>
      <c r="E25" s="133">
        <v>35</v>
      </c>
      <c r="F25" s="51">
        <f>CPU_!F122</f>
        <v>87.06</v>
      </c>
      <c r="G25" s="51">
        <f t="shared" si="0"/>
        <v>3047.1</v>
      </c>
    </row>
    <row r="26" spans="1:7" s="16" customFormat="1" ht="31.5">
      <c r="A26" s="112" t="s">
        <v>1644</v>
      </c>
      <c r="B26" s="47" t="str">
        <f>CPU_!B134</f>
        <v>88431</v>
      </c>
      <c r="C26" s="46" t="str">
        <f>CPU_!C134</f>
        <v>APLICAÇÃO MANUAL DE PINTURA COM TINTA TEXTURIZADA ACRÍLICA EM PAREDES EXTERNAS, MURETAS E JARDINEIRAS</v>
      </c>
      <c r="D26" s="45" t="str">
        <f>CPU_!D134</f>
        <v>M2</v>
      </c>
      <c r="E26" s="133">
        <v>700</v>
      </c>
      <c r="F26" s="51">
        <f>CPU_!F134</f>
        <v>28.01</v>
      </c>
      <c r="G26" s="51">
        <f t="shared" si="0"/>
        <v>19607</v>
      </c>
    </row>
    <row r="27" spans="1:7" s="16" customFormat="1">
      <c r="A27" s="112" t="s">
        <v>1645</v>
      </c>
      <c r="B27" s="47" t="str">
        <f>CPU_!B138</f>
        <v>88496</v>
      </c>
      <c r="C27" s="46" t="str">
        <f>CPU_!C138</f>
        <v>APLICAÇÃO E LIXAMENTO DE MASSA LÁTEX EM TETO, DUAS DEMÃOS.</v>
      </c>
      <c r="D27" s="45" t="str">
        <f>CPU_!D138</f>
        <v>M2</v>
      </c>
      <c r="E27" s="133">
        <v>150</v>
      </c>
      <c r="F27" s="51">
        <f>CPU_!F138</f>
        <v>36.78</v>
      </c>
      <c r="G27" s="51">
        <f t="shared" si="0"/>
        <v>5517</v>
      </c>
    </row>
    <row r="28" spans="1:7" s="16" customFormat="1">
      <c r="A28" s="112" t="s">
        <v>1646</v>
      </c>
      <c r="B28" s="47" t="str">
        <f>CPU_!B143</f>
        <v>88497</v>
      </c>
      <c r="C28" s="46" t="str">
        <f>CPU_!C143</f>
        <v>APLICAÇÃO E LIXAMENTO DE MASSA LÁTEX EM PAREDES, DUAS DEMÃOS.</v>
      </c>
      <c r="D28" s="45" t="str">
        <f>CPU_!D143</f>
        <v>M2</v>
      </c>
      <c r="E28" s="133">
        <v>620</v>
      </c>
      <c r="F28" s="51">
        <f>CPU_!F143</f>
        <v>20.53</v>
      </c>
      <c r="G28" s="51">
        <f t="shared" si="0"/>
        <v>12728.6</v>
      </c>
    </row>
    <row r="29" spans="1:7" s="16" customFormat="1">
      <c r="A29" s="112" t="s">
        <v>1647</v>
      </c>
      <c r="B29" s="47" t="str">
        <f>CPU_!B148</f>
        <v>88488</v>
      </c>
      <c r="C29" s="46" t="str">
        <f>CPU_!C148</f>
        <v>APLICAÇÃO MANUAL DE PINTURA COM TINTA LÁTEX ACRÍLICA EM TETO, DUAS DEMÃOS.</v>
      </c>
      <c r="D29" s="45" t="str">
        <f>CPU_!D148</f>
        <v>M2</v>
      </c>
      <c r="E29" s="133">
        <v>150</v>
      </c>
      <c r="F29" s="51">
        <f>CPU_!F148</f>
        <v>17.13</v>
      </c>
      <c r="G29" s="51">
        <f t="shared" si="0"/>
        <v>2569.5</v>
      </c>
    </row>
    <row r="30" spans="1:7" s="16" customFormat="1">
      <c r="A30" s="112" t="s">
        <v>1648</v>
      </c>
      <c r="B30" s="47" t="str">
        <f>CPU_!B152</f>
        <v>88489</v>
      </c>
      <c r="C30" s="46" t="str">
        <f>CPU_!C152</f>
        <v>APLICAÇÃO MANUAL DE PINTURA COM TINTA LÁTEX ACRÍLICA EM PAREDES, DUAS DEMÃOS.</v>
      </c>
      <c r="D30" s="45" t="str">
        <f>CPU_!D152</f>
        <v>M2</v>
      </c>
      <c r="E30" s="133">
        <v>620</v>
      </c>
      <c r="F30" s="51">
        <f>CPU_!F152</f>
        <v>14.4</v>
      </c>
      <c r="G30" s="51">
        <f t="shared" si="0"/>
        <v>8928</v>
      </c>
    </row>
    <row r="31" spans="1:7" s="16" customFormat="1">
      <c r="A31" s="112" t="s">
        <v>1649</v>
      </c>
      <c r="B31" s="47" t="str">
        <f>CPU_!B156</f>
        <v>PROPRIA</v>
      </c>
      <c r="C31" s="46" t="str">
        <f>CPU_!C156</f>
        <v>PINTURA ESMALTE ACETINADO EM MADEIRA, DUAS DEMAOS COM LIXAMENTO</v>
      </c>
      <c r="D31" s="45" t="str">
        <f>CPU_!D156</f>
        <v>M2</v>
      </c>
      <c r="E31" s="133">
        <v>180</v>
      </c>
      <c r="F31" s="51">
        <f>CPU_!F156</f>
        <v>27.744</v>
      </c>
      <c r="G31" s="51">
        <f t="shared" si="0"/>
        <v>4993.92</v>
      </c>
    </row>
    <row r="32" spans="1:7" s="16" customFormat="1">
      <c r="A32" s="112" t="s">
        <v>1650</v>
      </c>
      <c r="B32" s="47" t="str">
        <f>CPU_!B162</f>
        <v>PROPRIA</v>
      </c>
      <c r="C32" s="46" t="str">
        <f>CPU_!C162</f>
        <v>VERNIZ SINTETICO EM MADEIRA, 3 DEMAOS, incolor, COM LIXAMENTO</v>
      </c>
      <c r="D32" s="45" t="str">
        <f>CPU_!D162</f>
        <v>M2</v>
      </c>
      <c r="E32" s="133">
        <v>120</v>
      </c>
      <c r="F32" s="51">
        <f>CPU_!F162</f>
        <v>31.917888000000005</v>
      </c>
      <c r="G32" s="51">
        <f t="shared" si="0"/>
        <v>3830.15</v>
      </c>
    </row>
    <row r="33" spans="1:7" s="16" customFormat="1">
      <c r="A33" s="112" t="s">
        <v>1651</v>
      </c>
      <c r="B33" s="47" t="str">
        <f>CPU_!B168</f>
        <v>PROPRIA</v>
      </c>
      <c r="C33" s="120" t="str">
        <f>CPU_!C168</f>
        <v>PINTURA COM TINTA PROTETORA ACABAMENTO GRAFITE ESMALTE SOBRE SUPERFICIE METALICA, 2 DEMAOS</v>
      </c>
      <c r="D33" s="47" t="str">
        <f>CPU_!D168</f>
        <v>M2</v>
      </c>
      <c r="E33" s="133">
        <v>60</v>
      </c>
      <c r="F33" s="51">
        <f>CPU_!F168</f>
        <v>55.675100000000008</v>
      </c>
      <c r="G33" s="51">
        <f t="shared" si="0"/>
        <v>3340.51</v>
      </c>
    </row>
    <row r="34" spans="1:7" s="16" customFormat="1" ht="31.5">
      <c r="A34" s="112" t="s">
        <v>1652</v>
      </c>
      <c r="B34" s="47" t="str">
        <f>CPU_!B174</f>
        <v>PROPRIA</v>
      </c>
      <c r="C34" s="46" t="str">
        <f>CPU_!C174</f>
        <v>PINTURA ESMALTE ACETINADO, DUAS DEMAOS, SOBRE SUPERFICIE METALICA - VIGAS METALICAS INTERNAS</v>
      </c>
      <c r="D34" s="45" t="str">
        <f>CPU_!D174</f>
        <v>M2</v>
      </c>
      <c r="E34" s="133">
        <v>240</v>
      </c>
      <c r="F34" s="51">
        <f>CPU_!F174</f>
        <v>41.026300000000006</v>
      </c>
      <c r="G34" s="51">
        <f t="shared" si="0"/>
        <v>9846.31</v>
      </c>
    </row>
    <row r="35" spans="1:7" s="16" customFormat="1" ht="16.5" customHeight="1">
      <c r="A35" s="112" t="s">
        <v>1653</v>
      </c>
      <c r="B35" s="47" t="str">
        <f>CPU_!B180</f>
        <v>PROPRIA</v>
      </c>
      <c r="C35" s="46" t="str">
        <f>CPU_!C180</f>
        <v>FUNDO PREPARADOR PRIMER SINTETICO, PARA ESTRUTURA METALICA, UMA DEMÃO, ESPESSURA DE 25 MICRA</v>
      </c>
      <c r="D35" s="45" t="str">
        <f>CPU_!D180</f>
        <v>M2</v>
      </c>
      <c r="E35" s="133">
        <v>100</v>
      </c>
      <c r="F35" s="51">
        <f>CPU_!F180</f>
        <v>10.984366</v>
      </c>
      <c r="G35" s="51">
        <f t="shared" si="0"/>
        <v>1098.44</v>
      </c>
    </row>
    <row r="36" spans="1:7" s="16" customFormat="1">
      <c r="A36" s="112" t="s">
        <v>1654</v>
      </c>
      <c r="B36" s="47" t="str">
        <f>CPU_!B186</f>
        <v>PROPRIA</v>
      </c>
      <c r="C36" s="46" t="str">
        <f>CPU_!C186</f>
        <v>PINTURA DE BATE RODAS INSTALADOS NOS SUBSOLOS</v>
      </c>
      <c r="D36" s="45" t="str">
        <f>CPU_!D186</f>
        <v>M2</v>
      </c>
      <c r="E36" s="133">
        <f>1.2*125</f>
        <v>150</v>
      </c>
      <c r="F36" s="51">
        <f>CPU_!F186</f>
        <v>41.026300000000006</v>
      </c>
      <c r="G36" s="51">
        <f t="shared" si="0"/>
        <v>6153.95</v>
      </c>
    </row>
    <row r="37" spans="1:7" s="16" customFormat="1">
      <c r="A37" s="112" t="s">
        <v>1655</v>
      </c>
      <c r="B37" s="45" t="str">
        <f>CPU_!B192</f>
        <v>PROPRIA</v>
      </c>
      <c r="C37" s="46" t="str">
        <f>CPU_!C192</f>
        <v>REVESTIMENTO EM LAMINADO MELAMINICO LISO, ESPESSURA 0,8 MM, FIXADO COM COLA</v>
      </c>
      <c r="D37" s="45" t="str">
        <f>CPU_!D192</f>
        <v>M2</v>
      </c>
      <c r="E37" s="133">
        <v>25</v>
      </c>
      <c r="F37" s="51">
        <f>CPU_!F192</f>
        <v>120.3486</v>
      </c>
      <c r="G37" s="51">
        <f t="shared" si="0"/>
        <v>3008.72</v>
      </c>
    </row>
    <row r="38" spans="1:7" s="16" customFormat="1">
      <c r="A38" s="112" t="s">
        <v>1656</v>
      </c>
      <c r="B38" s="45" t="str">
        <f>CPU_!B197</f>
        <v>PROPRIA</v>
      </c>
      <c r="C38" s="46" t="str">
        <f>CPU_!C197</f>
        <v>CANTONEIRA DE ALUMINIO 1"X1, PARA PROTECAO DE QUINA DE PAREDE</v>
      </c>
      <c r="D38" s="45" t="str">
        <f>CPU_!D197</f>
        <v>M</v>
      </c>
      <c r="E38" s="133">
        <v>15</v>
      </c>
      <c r="F38" s="51">
        <f>CPU_!F197</f>
        <v>64.897999999999996</v>
      </c>
      <c r="G38" s="51">
        <f t="shared" si="0"/>
        <v>973.47</v>
      </c>
    </row>
    <row r="39" spans="1:7" s="16" customFormat="1">
      <c r="A39" s="112" t="s">
        <v>1657</v>
      </c>
      <c r="B39" s="45" t="str">
        <f>CPU_!B201</f>
        <v>PROPRIA</v>
      </c>
      <c r="C39" s="46" t="str">
        <f>CPU_!C201</f>
        <v>ISOLAMENTO TERMICO COM MANTA DE LA DE VIDRO, ESPESSURA 2,5CM</v>
      </c>
      <c r="D39" s="45" t="str">
        <f>CPU_!D201</f>
        <v>M2</v>
      </c>
      <c r="E39" s="133">
        <v>20</v>
      </c>
      <c r="F39" s="51">
        <f>CPU_!F201</f>
        <v>105.6645</v>
      </c>
      <c r="G39" s="51">
        <f t="shared" si="0"/>
        <v>2113.29</v>
      </c>
    </row>
    <row r="40" spans="1:7" s="16" customFormat="1">
      <c r="A40" s="112" t="s">
        <v>1658</v>
      </c>
      <c r="B40" s="45" t="str">
        <f>CPU_!B206</f>
        <v>PROPRIA</v>
      </c>
      <c r="C40" s="46" t="str">
        <f>CPU_!C206</f>
        <v>Persiana horizontal em alumínio branca ou cinza 16mm</v>
      </c>
      <c r="D40" s="45" t="str">
        <f>CPU_!D206</f>
        <v>M2</v>
      </c>
      <c r="E40" s="134">
        <v>50</v>
      </c>
      <c r="F40" s="51">
        <f>CPU_!F206</f>
        <v>133.72</v>
      </c>
      <c r="G40" s="51">
        <f t="shared" si="0"/>
        <v>6686</v>
      </c>
    </row>
    <row r="41" spans="1:7" s="16" customFormat="1">
      <c r="A41" s="112" t="s">
        <v>1659</v>
      </c>
      <c r="B41" s="45" t="str">
        <f>CPU_!B208</f>
        <v>PROPRIA</v>
      </c>
      <c r="C41" s="46" t="str">
        <f>CPU_!C208</f>
        <v xml:space="preserve">Persiana rolon </v>
      </c>
      <c r="D41" s="45" t="str">
        <f>CPU_!D208</f>
        <v>M2</v>
      </c>
      <c r="E41" s="134">
        <v>30</v>
      </c>
      <c r="F41" s="51">
        <f>CPU_!F208</f>
        <v>421.84</v>
      </c>
      <c r="G41" s="51">
        <f t="shared" si="0"/>
        <v>12655.2</v>
      </c>
    </row>
    <row r="42" spans="1:7" s="16" customFormat="1" ht="31.5">
      <c r="A42" s="112" t="s">
        <v>1660</v>
      </c>
      <c r="B42" s="45">
        <f>CPU_!B210</f>
        <v>100659</v>
      </c>
      <c r="C42" s="46" t="str">
        <f>CPU_!C210</f>
        <v>ALIZAR / GUARNIÇÃO DE 5X1,5CM PARA PORTA DE 60X210CM FIXADO COM PREGOS, PADRÃO MÉDIO - FORNECIMENTO E INSTALAÇÃO.</v>
      </c>
      <c r="D42" s="45" t="str">
        <f>CPU_!D210</f>
        <v>M</v>
      </c>
      <c r="E42" s="134">
        <f>6*5</f>
        <v>30</v>
      </c>
      <c r="F42" s="51">
        <f>CPU_!F210</f>
        <v>15.46</v>
      </c>
      <c r="G42" s="51">
        <f t="shared" si="0"/>
        <v>463.8</v>
      </c>
    </row>
    <row r="43" spans="1:7" s="16" customFormat="1" ht="31.5">
      <c r="A43" s="112" t="s">
        <v>1661</v>
      </c>
      <c r="B43" s="45" t="str">
        <f>CPU_!B215</f>
        <v>90823</v>
      </c>
      <c r="C43" s="46" t="str">
        <f>CPU_!C215</f>
        <v>PORTA DE MADEIRA PARA PINTURA, SEMI-OCA (LEVE OU MÉDIA), 90X210CM, ESPESSURA DE 3,5CM, INCLUSO DOBRADIÇAS - FORNECIMENTO E INSTALAÇÃO.</v>
      </c>
      <c r="D43" s="45" t="str">
        <f>CPU_!D215</f>
        <v>UN</v>
      </c>
      <c r="E43" s="134">
        <v>3</v>
      </c>
      <c r="F43" s="51">
        <f>CPU_!F215</f>
        <v>527.98</v>
      </c>
      <c r="G43" s="51">
        <f t="shared" si="0"/>
        <v>1583.94</v>
      </c>
    </row>
    <row r="44" spans="1:7" s="16" customFormat="1" ht="31.5">
      <c r="A44" s="112" t="s">
        <v>1662</v>
      </c>
      <c r="B44" s="45">
        <f>CPU_!B221</f>
        <v>91341</v>
      </c>
      <c r="C44" s="46" t="str">
        <f>CPU_!C221</f>
        <v>PORTA EM ALUMÍNIO DE ABRIR TIPO VENEZIANA COM GUARNIÇÃO, FIXAÇÃO COM PARAFUSOS, FORNECIMENTO E INSTALAÇÃO</v>
      </c>
      <c r="D44" s="45" t="str">
        <f>CPU_!D221</f>
        <v>M2</v>
      </c>
      <c r="E44" s="134">
        <v>2</v>
      </c>
      <c r="F44" s="51">
        <f>CPU_!F221</f>
        <v>666.28</v>
      </c>
      <c r="G44" s="51">
        <f t="shared" si="0"/>
        <v>1332.56</v>
      </c>
    </row>
    <row r="45" spans="1:7" s="16" customFormat="1">
      <c r="A45" s="112" t="s">
        <v>1663</v>
      </c>
      <c r="B45" s="45" t="str">
        <f>CPU_!B228</f>
        <v>90838</v>
      </c>
      <c r="C45" s="46" t="str">
        <f>CPU_!C228</f>
        <v>PORTA CORTA-FOGO 90X210X4CM - FORNECIMENTO E INSTALAÇÃO</v>
      </c>
      <c r="D45" s="45" t="str">
        <f>CPU_!D228</f>
        <v>UN</v>
      </c>
      <c r="E45" s="134">
        <v>1</v>
      </c>
      <c r="F45" s="51">
        <f>CPU_!F228</f>
        <v>1339.96</v>
      </c>
      <c r="G45" s="51">
        <f t="shared" si="0"/>
        <v>1339.96</v>
      </c>
    </row>
    <row r="46" spans="1:7" s="16" customFormat="1" ht="47.25">
      <c r="A46" s="112" t="s">
        <v>1664</v>
      </c>
      <c r="B46" s="45" t="str">
        <f>CPU_!B233</f>
        <v>90844</v>
      </c>
      <c r="C46" s="46" t="str">
        <f>CPU_!C233</f>
        <v>KIT DE PORTA DE MADEIRA PARA PINTURA, SEMI-OCA (LEVE OU MÉDIA), PADRÃO MÉDIO, 90X210CM, ESPESSURA DE 3,5CM, ITENS INCLUSOS: DOBRADIÇAS, MONTAGEM E INSTALAÇÃO DO BATENTE, FECHADURA COM EXECUÇÃO DO FURO - FORNECIMENTO E INSTALAÇÃO</v>
      </c>
      <c r="D46" s="45" t="str">
        <f>CPU_!D233</f>
        <v>UN</v>
      </c>
      <c r="E46" s="134">
        <v>1</v>
      </c>
      <c r="F46" s="51">
        <f>CPU_!F233</f>
        <v>1470.14</v>
      </c>
      <c r="G46" s="51">
        <f t="shared" si="0"/>
        <v>1470.14</v>
      </c>
    </row>
    <row r="47" spans="1:7" s="16" customFormat="1" ht="31.5">
      <c r="A47" s="112" t="s">
        <v>1665</v>
      </c>
      <c r="B47" s="45">
        <f>CPU_!B238</f>
        <v>91297</v>
      </c>
      <c r="C47" s="46" t="str">
        <f>CPU_!C238</f>
        <v xml:space="preserve">PORTA DE MADEIRA, SEMI-OCA (LEVE OU MÉDIA), 80X210CM, ESPESSURA DE 3,5CM, INCLUSO DOBRADIÇAS - FORNECIMENTO E INSTALAÇÃO. </v>
      </c>
      <c r="D47" s="45" t="str">
        <f>CPU_!D238</f>
        <v>UN</v>
      </c>
      <c r="E47" s="134">
        <v>2</v>
      </c>
      <c r="F47" s="51">
        <f>CPU_!F238</f>
        <v>493.68</v>
      </c>
      <c r="G47" s="51">
        <f t="shared" si="0"/>
        <v>987.36</v>
      </c>
    </row>
    <row r="48" spans="1:7" s="16" customFormat="1">
      <c r="A48" s="112" t="s">
        <v>1666</v>
      </c>
      <c r="B48" s="45" t="str">
        <f>CPU_!B244</f>
        <v>PROPRIA</v>
      </c>
      <c r="C48" s="46" t="str">
        <f>CPU_!C244</f>
        <v>Pintura com esmalte retardante ao fogo (para porta corta-fogo)</v>
      </c>
      <c r="D48" s="45" t="str">
        <f>CPU_!D244</f>
        <v>M2</v>
      </c>
      <c r="E48" s="134">
        <f>2*12</f>
        <v>24</v>
      </c>
      <c r="F48" s="51">
        <f>CPU_!F244</f>
        <v>46.743108888888898</v>
      </c>
      <c r="G48" s="51">
        <f t="shared" si="0"/>
        <v>1121.83</v>
      </c>
    </row>
    <row r="49" spans="1:7" s="16" customFormat="1">
      <c r="A49" s="112" t="s">
        <v>1667</v>
      </c>
      <c r="B49" s="45" t="str">
        <f>CPU_!B250</f>
        <v>PROPRIA</v>
      </c>
      <c r="C49" s="46" t="str">
        <f>CPU_!C250</f>
        <v>RETIRADA DE DIVISORIAS EM CHAPAS DE MADEIRA, COM MONTANTES METALICOS</v>
      </c>
      <c r="D49" s="45" t="str">
        <f>CPU_!D250</f>
        <v>M2</v>
      </c>
      <c r="E49" s="134">
        <f>120*1.4</f>
        <v>168</v>
      </c>
      <c r="F49" s="51">
        <f>CPU_!F250</f>
        <v>37.031999999999996</v>
      </c>
      <c r="G49" s="51">
        <f t="shared" si="0"/>
        <v>6221.38</v>
      </c>
    </row>
    <row r="50" spans="1:7" s="16" customFormat="1" ht="31.5">
      <c r="A50" s="112" t="s">
        <v>1668</v>
      </c>
      <c r="B50" s="45" t="str">
        <f>CPU_!B252</f>
        <v>PROPRIA</v>
      </c>
      <c r="C50" s="46" t="str">
        <f>CPU_!C252</f>
        <v>RECOLOCACAO DE DIVISORIAS TIPO CHAPAS OU TABUAS, INCLUSIVE ENTARUGAMENTO, CONSIDERANDO REAPROVEITAMENTO DO MATERIAL</v>
      </c>
      <c r="D50" s="45" t="str">
        <f>CPU_!D252</f>
        <v>M2</v>
      </c>
      <c r="E50" s="134">
        <v>100</v>
      </c>
      <c r="F50" s="51">
        <f>CPU_!F252</f>
        <v>48.276000000000003</v>
      </c>
      <c r="G50" s="51">
        <f t="shared" si="0"/>
        <v>4827.6000000000004</v>
      </c>
    </row>
    <row r="51" spans="1:7" s="16" customFormat="1">
      <c r="A51" s="112" t="s">
        <v>1669</v>
      </c>
      <c r="B51" s="47" t="str">
        <f>CPU_!B256</f>
        <v>99855</v>
      </c>
      <c r="C51" s="46" t="str">
        <f>CPU_!C256</f>
        <v>CORRIMÃO SIMPLES, DIÂMETRO EXTERNO = 1 1/2, EM AÇO GALVANIZADO</v>
      </c>
      <c r="D51" s="47" t="str">
        <f>CPU_!D256</f>
        <v>M</v>
      </c>
      <c r="E51" s="134">
        <v>12</v>
      </c>
      <c r="F51" s="51">
        <f>CPU_!F256</f>
        <v>93.52</v>
      </c>
      <c r="G51" s="51">
        <f t="shared" si="0"/>
        <v>1122.24</v>
      </c>
    </row>
    <row r="52" spans="1:7" s="16" customFormat="1">
      <c r="A52" s="112" t="s">
        <v>1670</v>
      </c>
      <c r="B52" s="47" t="str">
        <f>CPU_!B263</f>
        <v>99857</v>
      </c>
      <c r="C52" s="46" t="str">
        <f>CPU_!C263</f>
        <v>CORRIMÃO SIMPLES, DIÂMETRO EXTERNO = 1 1/2, EM ALUMÍNIO</v>
      </c>
      <c r="D52" s="47" t="str">
        <f>CPU_!D263</f>
        <v>M</v>
      </c>
      <c r="E52" s="134">
        <v>12</v>
      </c>
      <c r="F52" s="51">
        <f>CPU_!F263</f>
        <v>65.98</v>
      </c>
      <c r="G52" s="51">
        <f t="shared" si="0"/>
        <v>791.76</v>
      </c>
    </row>
    <row r="53" spans="1:7" s="16" customFormat="1">
      <c r="A53" s="112" t="s">
        <v>1671</v>
      </c>
      <c r="B53" s="47" t="str">
        <f>CPU_!B270</f>
        <v>PROPRIA</v>
      </c>
      <c r="C53" s="46" t="str">
        <f>CPU_!C270</f>
        <v>EXECUÇÃO DE REVESTIMENTO DE PAREDES E LAMBRIL DE MADEIRA</v>
      </c>
      <c r="D53" s="47" t="str">
        <f>CPU_!D270</f>
        <v>M2</v>
      </c>
      <c r="E53" s="134">
        <v>130</v>
      </c>
      <c r="F53" s="51">
        <f>CPU_!F270</f>
        <v>119.65279799999999</v>
      </c>
      <c r="G53" s="51">
        <f t="shared" si="0"/>
        <v>15554.86</v>
      </c>
    </row>
    <row r="54" spans="1:7" s="16" customFormat="1">
      <c r="A54" s="112" t="s">
        <v>1672</v>
      </c>
      <c r="B54" s="47" t="str">
        <f>CPU_!B276</f>
        <v>PROPRIA</v>
      </c>
      <c r="C54" s="46" t="str">
        <f>CPU_!C276</f>
        <v>ESPELHO CRISTAL, ESPESSURA 4MM, COM PARAFUSOS DE FIXACAO, SEM MOLDURA</v>
      </c>
      <c r="D54" s="47" t="str">
        <f>CPU_!D276</f>
        <v>M2</v>
      </c>
      <c r="E54" s="133">
        <v>4</v>
      </c>
      <c r="F54" s="51">
        <f>CPU_!F276</f>
        <v>527.68399999999997</v>
      </c>
      <c r="G54" s="51">
        <f t="shared" si="0"/>
        <v>2110.7399999999998</v>
      </c>
    </row>
    <row r="55" spans="1:7" s="16" customFormat="1" ht="31.5">
      <c r="A55" s="112" t="s">
        <v>1673</v>
      </c>
      <c r="B55" s="47">
        <f>CPU_!B281</f>
        <v>88788</v>
      </c>
      <c r="C55" s="46" t="str">
        <f>CPU_!C281</f>
        <v>REVESTIMENTO CERÂMICO PARA PAREDES EXTERNAS EM PASTILHAS DE VIDRO 3 X 3 CM (PLACAS DE 30 X 30 CM), ALINHADAS A PRUMO</v>
      </c>
      <c r="D55" s="47" t="str">
        <f>CPU_!D281</f>
        <v>M2</v>
      </c>
      <c r="E55" s="133">
        <v>10</v>
      </c>
      <c r="F55" s="51">
        <f>CPU_!F281</f>
        <v>400.12</v>
      </c>
      <c r="G55" s="51">
        <f t="shared" si="0"/>
        <v>4001.2</v>
      </c>
    </row>
    <row r="56" spans="1:7" s="16" customFormat="1" ht="31.5">
      <c r="A56" s="112" t="s">
        <v>1674</v>
      </c>
      <c r="B56" s="47">
        <f>CPU_!B286</f>
        <v>87265</v>
      </c>
      <c r="C56" s="46" t="str">
        <f>CPU_!C286</f>
        <v>REVESTIMENTO CERÂMICO PARA PAREDES INTERNAS COM PLACAS TIPO ESMALTADA EXTRA DE DIMENSÕES 20X20 CM APLICADAS EM AMBIENTES DE ÁREA MENOR QUE 5 M² NA ALTURA INTEIRA DAS PAREDES</v>
      </c>
      <c r="D56" s="47" t="str">
        <f>CPU_!D286</f>
        <v>M2</v>
      </c>
      <c r="E56" s="133">
        <f>20*3</f>
        <v>60</v>
      </c>
      <c r="F56" s="51">
        <f>CPU_!F286</f>
        <v>64.680000000000007</v>
      </c>
      <c r="G56" s="51">
        <f t="shared" si="0"/>
        <v>3880.8</v>
      </c>
    </row>
    <row r="57" spans="1:7" s="16" customFormat="1" ht="31.5">
      <c r="A57" s="112" t="s">
        <v>1675</v>
      </c>
      <c r="B57" s="47">
        <f>CPU_!B292</f>
        <v>98556</v>
      </c>
      <c r="C57" s="46" t="str">
        <f>CPU_!C292</f>
        <v>IMPERMEABILIZAÇÃO CAIXA D'AGUA SUPERIOR com ARGAMASSA POLIMÉRICA COM ESPESSURA DE 1,0mm + MEMBRANA ACRÍLICA COM CIMENTO, COM ESPESSURA DE 3,0mm - 4 demãos</v>
      </c>
      <c r="D57" s="47" t="str">
        <f>CPU_!D292</f>
        <v>M2</v>
      </c>
      <c r="E57" s="133">
        <v>110</v>
      </c>
      <c r="F57" s="51">
        <f>CPU_!F292</f>
        <v>64.59</v>
      </c>
      <c r="G57" s="51">
        <f t="shared" si="0"/>
        <v>7104.9</v>
      </c>
    </row>
    <row r="58" spans="1:7" s="16" customFormat="1">
      <c r="A58" s="112" t="s">
        <v>1676</v>
      </c>
      <c r="B58" s="47" t="str">
        <f>CPU_!B297</f>
        <v>PROPRIA</v>
      </c>
      <c r="C58" s="46" t="str">
        <f>CPU_!C297</f>
        <v>Pintura de concreto aparente, com lixamento e preparação de base, com resina acrilica impermeabilizante, 2 DEMAOS</v>
      </c>
      <c r="D58" s="47" t="str">
        <f>CPU_!D297</f>
        <v>M2</v>
      </c>
      <c r="E58" s="133">
        <v>120</v>
      </c>
      <c r="F58" s="51">
        <f>CPU_!F297</f>
        <v>76.337400000000002</v>
      </c>
      <c r="G58" s="51">
        <f t="shared" si="0"/>
        <v>9160.49</v>
      </c>
    </row>
    <row r="59" spans="1:7" s="16" customFormat="1" ht="31.5">
      <c r="A59" s="112" t="s">
        <v>1677</v>
      </c>
      <c r="B59" s="47" t="str">
        <f>CPU_!B303</f>
        <v>PROPRIA</v>
      </c>
      <c r="C59" s="46" t="str">
        <f>CPU_!C303</f>
        <v>VIDRO TEMPERADO VERDE, ESPESSURA 10MM, FORNECIMENTO E INSTALACAO, INCLUSIVE MASSA PARA VEDACAO</v>
      </c>
      <c r="D59" s="47" t="str">
        <f>CPU_!D303</f>
        <v>M2</v>
      </c>
      <c r="E59" s="133">
        <v>30</v>
      </c>
      <c r="F59" s="51">
        <f>CPU_!F303</f>
        <v>427.28499999999997</v>
      </c>
      <c r="G59" s="51">
        <f t="shared" si="0"/>
        <v>12818.55</v>
      </c>
    </row>
    <row r="60" spans="1:7" s="16" customFormat="1">
      <c r="A60" s="112" t="s">
        <v>1678</v>
      </c>
      <c r="B60" s="47" t="str">
        <f>CPU_!B308</f>
        <v>PROPRIA</v>
      </c>
      <c r="C60" s="120" t="str">
        <f>CPU_!C308</f>
        <v>INSTALAÇÃO DE VIDRO LAMINADO, E = 10 MM, ENCAIXADO EM PERFIL U</v>
      </c>
      <c r="D60" s="47" t="str">
        <f>CPU_!D308</f>
        <v>M2</v>
      </c>
      <c r="E60" s="133">
        <v>15</v>
      </c>
      <c r="F60" s="51">
        <f>CPU_!F308</f>
        <v>938.59271000000012</v>
      </c>
      <c r="G60" s="51">
        <f t="shared" si="0"/>
        <v>14078.89</v>
      </c>
    </row>
    <row r="61" spans="1:7" s="16" customFormat="1">
      <c r="A61" s="112" t="s">
        <v>1679</v>
      </c>
      <c r="B61" s="47" t="str">
        <f>CPU_!B316</f>
        <v>PRÓPRIA</v>
      </c>
      <c r="C61" s="120" t="str">
        <f>CPU_!C316</f>
        <v>Limpeza e manutenção de PAINEL DE PROTEÇÃO SOLAR COM ESQUADRIA DE ALUMÍNIO, PAINEIS PERTECH E VIDROS CASCATA e demais elementos de fachada</v>
      </c>
      <c r="D61" s="47" t="str">
        <f>CPU_!D316</f>
        <v>UNID</v>
      </c>
      <c r="E61" s="133">
        <v>1</v>
      </c>
      <c r="F61" s="51">
        <f>CPU_!F316</f>
        <v>12471.44</v>
      </c>
      <c r="G61" s="51">
        <f t="shared" si="0"/>
        <v>12471.44</v>
      </c>
    </row>
    <row r="62" spans="1:7" s="16" customFormat="1">
      <c r="A62" s="112" t="s">
        <v>1680</v>
      </c>
      <c r="B62" s="47" t="str">
        <f>CPU_!B321</f>
        <v>PRÓPRIA</v>
      </c>
      <c r="C62" s="120" t="str">
        <f>CPU_!C321</f>
        <v>Manutenção e pintura de vigas e elementos metálicos das fachadas norte e sul</v>
      </c>
      <c r="D62" s="47" t="str">
        <f>CPU_!D321</f>
        <v>M2</v>
      </c>
      <c r="E62" s="133">
        <v>230</v>
      </c>
      <c r="F62" s="51">
        <f>CPU_!F321</f>
        <v>197.47863799999999</v>
      </c>
      <c r="G62" s="51">
        <f t="shared" si="0"/>
        <v>45420.09</v>
      </c>
    </row>
    <row r="63" spans="1:7" s="16" customFormat="1">
      <c r="A63" s="112" t="s">
        <v>1681</v>
      </c>
      <c r="B63" s="47">
        <f>CPU_!B330</f>
        <v>98505</v>
      </c>
      <c r="C63" s="46" t="str">
        <f>CPU_!C330</f>
        <v>PLANTIO DE FORRAÇÃO</v>
      </c>
      <c r="D63" s="47" t="str">
        <f>CPU_!D330</f>
        <v>M2</v>
      </c>
      <c r="E63" s="133">
        <v>50</v>
      </c>
      <c r="F63" s="51">
        <f>CPU_!F330</f>
        <v>70.36</v>
      </c>
      <c r="G63" s="51">
        <f t="shared" si="0"/>
        <v>3518</v>
      </c>
    </row>
    <row r="64" spans="1:7" s="16" customFormat="1">
      <c r="A64" s="112" t="s">
        <v>1682</v>
      </c>
      <c r="B64" s="47">
        <f>CPU_!B334</f>
        <v>98509</v>
      </c>
      <c r="C64" s="120" t="str">
        <f>CPU_!C334</f>
        <v>PLANTIO DE ARBUSTO OU CERCA VIVA</v>
      </c>
      <c r="D64" s="47" t="str">
        <f>CPU_!D334</f>
        <v>um</v>
      </c>
      <c r="E64" s="47">
        <v>20</v>
      </c>
      <c r="F64" s="419">
        <f>CPU_!F334</f>
        <v>46.22</v>
      </c>
      <c r="G64" s="51">
        <f t="shared" si="0"/>
        <v>924.4</v>
      </c>
    </row>
    <row r="65" spans="1:7" s="16" customFormat="1">
      <c r="A65" s="112" t="s">
        <v>1683</v>
      </c>
      <c r="B65" s="47" t="str">
        <f>CPU_!B338</f>
        <v>103946</v>
      </c>
      <c r="C65" s="46" t="str">
        <f>CPU_!C338</f>
        <v>PLANTIO DE GRAMA ESMERALDA OU SÃO CARLOS OU CURITIBANA, EM PLACAS</v>
      </c>
      <c r="D65" s="47" t="str">
        <f>CPU_!D338</f>
        <v>M2</v>
      </c>
      <c r="E65" s="134">
        <v>250</v>
      </c>
      <c r="F65" s="51">
        <f>CPU_!F338</f>
        <v>20.3</v>
      </c>
      <c r="G65" s="51">
        <f t="shared" si="0"/>
        <v>5075</v>
      </c>
    </row>
    <row r="66" spans="1:7" s="16" customFormat="1" ht="31.5">
      <c r="A66" s="112" t="s">
        <v>1684</v>
      </c>
      <c r="B66" s="47">
        <f>CPU_!B342</f>
        <v>103001</v>
      </c>
      <c r="C66" s="46" t="str">
        <f>CPU_!C342</f>
        <v>GRELHA DE FERRO FUNDIDO SIMPLES COM REQUADRO, 150 X 1000 MM, ASSENTADA COM ARGAMASSA 1 : 3 CIMENTO: AREIA - FORNECIMENTO E INSTALAÇÃO</v>
      </c>
      <c r="D66" s="47" t="str">
        <f>CPU_!D342</f>
        <v>UN</v>
      </c>
      <c r="E66" s="134">
        <v>3</v>
      </c>
      <c r="F66" s="51">
        <f>CPU_!F342</f>
        <v>196.05</v>
      </c>
      <c r="G66" s="51">
        <f t="shared" si="0"/>
        <v>588.15</v>
      </c>
    </row>
    <row r="67" spans="1:7" s="16" customFormat="1" ht="31.5">
      <c r="A67" s="112" t="s">
        <v>1685</v>
      </c>
      <c r="B67" s="47">
        <f>CPU_!B347</f>
        <v>94229</v>
      </c>
      <c r="C67" s="46" t="str">
        <f>CPU_!C347</f>
        <v>CALHA EM CHAPA DE AÇO GALVANIZADO NÚMERO 24, DESENVOLVIMENTO DE 100 CM , INCLUSO TRANSPORTE VERTICAL</v>
      </c>
      <c r="D67" s="47" t="str">
        <f>CPU_!D347</f>
        <v>M</v>
      </c>
      <c r="E67" s="134">
        <v>15</v>
      </c>
      <c r="F67" s="51">
        <f>CPU_!F347</f>
        <v>172.23</v>
      </c>
      <c r="G67" s="51">
        <f t="shared" si="0"/>
        <v>2583.4499999999998</v>
      </c>
    </row>
    <row r="68" spans="1:7" s="16" customFormat="1">
      <c r="A68" s="112" t="s">
        <v>1686</v>
      </c>
      <c r="B68" s="47">
        <f>CPU_!B357</f>
        <v>94231</v>
      </c>
      <c r="C68" s="46" t="str">
        <f>CPU_!C357</f>
        <v>RUFO EM CHAPA DE AÇO GALVANIZADO NÚMERO 24, CORTE DE 25 CM, INCLUSO TRANSPORTE VERTICAL</v>
      </c>
      <c r="D68" s="47" t="str">
        <f>CPU_!D357</f>
        <v>M</v>
      </c>
      <c r="E68" s="134">
        <v>15</v>
      </c>
      <c r="F68" s="51">
        <f>CPU_!F357</f>
        <v>53.64</v>
      </c>
      <c r="G68" s="51">
        <f t="shared" si="0"/>
        <v>804.6</v>
      </c>
    </row>
    <row r="69" spans="1:7" s="16" customFormat="1" ht="31.5">
      <c r="A69" s="112" t="s">
        <v>1687</v>
      </c>
      <c r="B69" s="47" t="str">
        <f>CPU_!B367</f>
        <v>89356</v>
      </c>
      <c r="C69" s="46" t="str">
        <f>CPU_!C367</f>
        <v xml:space="preserve">TUBO, PVC, SOLDÁVEL, DN 25MM, INSTALADO EM RAMAL OU SUB-RAMAL DE ÁGUA - FORNECIMENTO E INSTALAÇÃO. </v>
      </c>
      <c r="D69" s="47" t="str">
        <f>CPU_!D367</f>
        <v>M</v>
      </c>
      <c r="E69" s="134">
        <v>5</v>
      </c>
      <c r="F69" s="51">
        <f>CPU_!F367</f>
        <v>27.1</v>
      </c>
      <c r="G69" s="51">
        <f t="shared" ref="G69:G116" si="1">ROUND(E69*F69,2)</f>
        <v>135.5</v>
      </c>
    </row>
    <row r="70" spans="1:7" s="16" customFormat="1" ht="31.5">
      <c r="A70" s="112" t="s">
        <v>1688</v>
      </c>
      <c r="B70" s="47" t="str">
        <f>CPU_!B372</f>
        <v>89357</v>
      </c>
      <c r="C70" s="46" t="str">
        <f>CPU_!C372</f>
        <v xml:space="preserve">TUBO, PVC, SOLDÁVEL, DN 32MM, INSTALADO EM RAMAL OU SUB-RAMAL DE ÁGUA - FORNECIMENTO E INSTALAÇÃO. </v>
      </c>
      <c r="D70" s="47" t="str">
        <f>CPU_!D372</f>
        <v>M</v>
      </c>
      <c r="E70" s="134">
        <v>5</v>
      </c>
      <c r="F70" s="51">
        <f>CPU_!F372</f>
        <v>37.06</v>
      </c>
      <c r="G70" s="51">
        <f t="shared" si="1"/>
        <v>185.3</v>
      </c>
    </row>
    <row r="71" spans="1:7" s="16" customFormat="1" ht="17.25" customHeight="1">
      <c r="A71" s="112" t="s">
        <v>1689</v>
      </c>
      <c r="B71" s="47" t="str">
        <f>CPU_!B377</f>
        <v>89512</v>
      </c>
      <c r="C71" s="46" t="str">
        <f>CPU_!C377</f>
        <v xml:space="preserve">TUBO PVC, SÉRIE R, ÁGUA PLUVIAL, DN 100 MM, FORNECIDO E INSTALADO EM RAMAL DE ENCAMINHAMENTO. </v>
      </c>
      <c r="D71" s="47" t="str">
        <f>CPU_!D377</f>
        <v>M</v>
      </c>
      <c r="E71" s="133">
        <v>5</v>
      </c>
      <c r="F71" s="51">
        <f>CPU_!F377</f>
        <v>55.8</v>
      </c>
      <c r="G71" s="51">
        <f t="shared" si="1"/>
        <v>279</v>
      </c>
    </row>
    <row r="72" spans="1:7" s="16" customFormat="1" ht="31.5">
      <c r="A72" s="112" t="s">
        <v>1690</v>
      </c>
      <c r="B72" s="47" t="str">
        <f>CPU_!B384</f>
        <v>89714</v>
      </c>
      <c r="C72" s="46" t="str">
        <f>CPU_!C384</f>
        <v>TUBO PVC, SERIE NORMAL, ESGOTO PREDIAL, DN 100 MM, FORNECIDO E INSTALADO EM RAMAL DE DESCARGA OU RAMAL DE ESGOTO SANITÁRIO.</v>
      </c>
      <c r="D72" s="47" t="str">
        <f>CPU_!D384</f>
        <v>M</v>
      </c>
      <c r="E72" s="133">
        <v>5</v>
      </c>
      <c r="F72" s="51">
        <f>CPU_!F384</f>
        <v>43.33</v>
      </c>
      <c r="G72" s="51">
        <f t="shared" si="1"/>
        <v>216.65</v>
      </c>
    </row>
    <row r="73" spans="1:7" s="16" customFormat="1" ht="31.5">
      <c r="A73" s="112" t="s">
        <v>1691</v>
      </c>
      <c r="B73" s="47" t="str">
        <f>CPU_!B391</f>
        <v>91871</v>
      </c>
      <c r="C73" s="46" t="str">
        <f>CPU_!C391</f>
        <v>ELETRODUTO RÍGIDO ROSCÁVEL, PVC, DN 25 MM (3/4"), PARA CIRCUITOS TERMINAIS, INSTALADO EM PAREDE - FORNECIMENTO E INSTALAÇÃO.</v>
      </c>
      <c r="D73" s="47" t="str">
        <f>CPU_!D391</f>
        <v>M</v>
      </c>
      <c r="E73" s="133">
        <v>10</v>
      </c>
      <c r="F73" s="51">
        <f>CPU_!F391</f>
        <v>16.84</v>
      </c>
      <c r="G73" s="51">
        <f t="shared" si="1"/>
        <v>168.4</v>
      </c>
    </row>
    <row r="74" spans="1:7" s="16" customFormat="1" ht="31.5">
      <c r="A74" s="112" t="s">
        <v>1692</v>
      </c>
      <c r="B74" s="47" t="str">
        <f>CPU_!B395</f>
        <v>91875</v>
      </c>
      <c r="C74" s="46" t="str">
        <f>CPU_!C395</f>
        <v>LUVA PARA ELETRODUTO, PVC, ROSCÁVEL, DN 25 MM (3/4"), PARA CIRCUITOS TERMINAIS, INSTALADA EM FORRO - FORNECIMENTO E INSTALAÇÃO</v>
      </c>
      <c r="D74" s="47" t="str">
        <f>CPU_!D395</f>
        <v>UN</v>
      </c>
      <c r="E74" s="133">
        <v>5</v>
      </c>
      <c r="F74" s="51">
        <f>CPU_!F395</f>
        <v>9.7200000000000006</v>
      </c>
      <c r="G74" s="51">
        <f t="shared" si="1"/>
        <v>48.6</v>
      </c>
    </row>
    <row r="75" spans="1:7" s="16" customFormat="1" ht="31.5">
      <c r="A75" s="112" t="s">
        <v>1693</v>
      </c>
      <c r="B75" s="47" t="str">
        <f>CPU_!B399</f>
        <v>91890</v>
      </c>
      <c r="C75" s="46" t="str">
        <f>CPU_!C399</f>
        <v>CURVA 90 GRAUS PARA ELETRODUTO, PVC, ROSCÁVEL, DN 25 MM (3/4"), PARA CIRCUITOS TERMINAIS, INSTALADA EM FORRO - FORNECIMENTO E INSTALAÇÃO</v>
      </c>
      <c r="D75" s="47" t="str">
        <f>CPU_!D399</f>
        <v>UN</v>
      </c>
      <c r="E75" s="133">
        <v>5</v>
      </c>
      <c r="F75" s="51">
        <f>CPU_!F399</f>
        <v>15.88</v>
      </c>
      <c r="G75" s="51">
        <f t="shared" si="1"/>
        <v>79.400000000000006</v>
      </c>
    </row>
    <row r="76" spans="1:7" s="16" customFormat="1" ht="31.5">
      <c r="A76" s="112" t="s">
        <v>1694</v>
      </c>
      <c r="B76" s="47" t="str">
        <f>CPU_!B403</f>
        <v>91926</v>
      </c>
      <c r="C76" s="46" t="str">
        <f>CPU_!C403</f>
        <v>CABO DE COBRE FLEXÍVEL ISOLADO, 2,5 MM², ANTI-CHAMA 450/750 V, PARA CIRCUITOS TERMINAIS - FORNECIMENTO E INSTALAÇÃO</v>
      </c>
      <c r="D76" s="47" t="str">
        <f>CPU_!D403</f>
        <v>M</v>
      </c>
      <c r="E76" s="133">
        <v>150</v>
      </c>
      <c r="F76" s="478">
        <f>CPU_!F403</f>
        <v>5.2</v>
      </c>
      <c r="G76" s="51">
        <f t="shared" si="1"/>
        <v>780</v>
      </c>
    </row>
    <row r="77" spans="1:7" s="32" customFormat="1" ht="31.5">
      <c r="A77" s="112" t="s">
        <v>1695</v>
      </c>
      <c r="B77" s="45" t="str">
        <f>CPU_!B408</f>
        <v>91928</v>
      </c>
      <c r="C77" s="46" t="str">
        <f>CPU_!C408</f>
        <v>CABO DE COBRE FLEXÍVEL ISOLADO, 4 MM², ANTI-CHAMA 450/750 V, PARA CIRCUITOS TERMINAIS - FORNECIMENTO E INSTALAÇÃO</v>
      </c>
      <c r="D77" s="45" t="str">
        <f>CPU_!D408</f>
        <v>M</v>
      </c>
      <c r="E77" s="133">
        <v>100</v>
      </c>
      <c r="F77" s="51">
        <f>CPU_!F408</f>
        <v>8.07</v>
      </c>
      <c r="G77" s="51">
        <f t="shared" si="1"/>
        <v>807</v>
      </c>
    </row>
    <row r="78" spans="1:7" s="32" customFormat="1" ht="31.5">
      <c r="A78" s="112" t="s">
        <v>1696</v>
      </c>
      <c r="B78" s="45" t="str">
        <f>CPU_!B413</f>
        <v>91930</v>
      </c>
      <c r="C78" s="46" t="str">
        <f>CPU_!C413</f>
        <v>CABO DE COBRE FLEXÍVEL ISOLADO, 6 MM², ANTI-CHAMA 450/750 V, PARA CIRCUITOS TERMINAIS - FORNECIMENTO E INSTALAÇÃO</v>
      </c>
      <c r="D78" s="45" t="str">
        <f>CPU_!D413</f>
        <v>M</v>
      </c>
      <c r="E78" s="133">
        <v>50</v>
      </c>
      <c r="F78" s="51">
        <f>CPU_!F413</f>
        <v>11.28</v>
      </c>
      <c r="G78" s="51">
        <f t="shared" si="1"/>
        <v>564</v>
      </c>
    </row>
    <row r="79" spans="1:7" s="32" customFormat="1" ht="31.5">
      <c r="A79" s="112" t="s">
        <v>1697</v>
      </c>
      <c r="B79" s="45" t="str">
        <f>CPU_!B418</f>
        <v>95787</v>
      </c>
      <c r="C79" s="46" t="str">
        <f>CPU_!C418</f>
        <v>CONDULETE DE ALUMÍNIO, TIPO LR, PARA ELETRODUTO DE AÇO GALVANIZADO DN 20 MM (3/4''), APARENTE - FORNECIMENTO E INSTALAÇÃO</v>
      </c>
      <c r="D79" s="45" t="str">
        <f>CPU_!D418</f>
        <v>UN</v>
      </c>
      <c r="E79" s="133">
        <v>10</v>
      </c>
      <c r="F79" s="51">
        <f>CPU_!F418</f>
        <v>30.17</v>
      </c>
      <c r="G79" s="51">
        <f t="shared" si="1"/>
        <v>301.7</v>
      </c>
    </row>
    <row r="80" spans="1:7" s="32" customFormat="1" ht="31.5">
      <c r="A80" s="112" t="s">
        <v>1698</v>
      </c>
      <c r="B80" s="45" t="str">
        <f>CPU_!B423</f>
        <v>95778</v>
      </c>
      <c r="C80" s="46" t="str">
        <f>CPU_!C423</f>
        <v>CONDULETE DE ALUMÍNIO, TIPO C, PARA ELETRODUTO DE AÇO GALVANIZADO DN 20 MM (3/4''), APARENTE - FORNECIMENTO E INSTALAÇÃO</v>
      </c>
      <c r="D80" s="45" t="str">
        <f>CPU_!D423</f>
        <v>UN</v>
      </c>
      <c r="E80" s="133">
        <v>10</v>
      </c>
      <c r="F80" s="51">
        <f>CPU_!F423</f>
        <v>28.84</v>
      </c>
      <c r="G80" s="51">
        <f t="shared" si="1"/>
        <v>288.39999999999998</v>
      </c>
    </row>
    <row r="81" spans="1:11" s="32" customFormat="1" ht="31.5">
      <c r="A81" s="112" t="s">
        <v>1699</v>
      </c>
      <c r="B81" s="45" t="str">
        <f>CPU_!B425</f>
        <v>95795</v>
      </c>
      <c r="C81" s="46" t="str">
        <f>CPU_!C425</f>
        <v>CONDULETE DE ALUMÍNIO, TIPO T, PARA ELETRODUTO DE AÇO GALVANIZADO DN 20 MM (3/4''), APARENTE - FORNECIMENTO E INSTALAÇÃO.</v>
      </c>
      <c r="D81" s="45" t="str">
        <f>CPU_!D425</f>
        <v>UN</v>
      </c>
      <c r="E81" s="133">
        <v>10</v>
      </c>
      <c r="F81" s="51">
        <f>CPU_!F425</f>
        <v>35.17</v>
      </c>
      <c r="G81" s="51">
        <f t="shared" si="1"/>
        <v>351.7</v>
      </c>
    </row>
    <row r="82" spans="1:11" s="16" customFormat="1" ht="31.5">
      <c r="A82" s="112" t="s">
        <v>1700</v>
      </c>
      <c r="B82" s="47" t="str">
        <f>CPU_!B430</f>
        <v>95808</v>
      </c>
      <c r="C82" s="46" t="str">
        <f>CPU_!C430</f>
        <v>CONDULETE DE PVC, TIPO LL/LR, PARA ELETRODUTO DE PVC SOLDÁVEL DN 25 MM (3/4''), APARENTE - FORNECIMENTO E INSTALAÇÃO</v>
      </c>
      <c r="D82" s="47" t="str">
        <f>CPU_!D430</f>
        <v>UN</v>
      </c>
      <c r="E82" s="133">
        <v>10</v>
      </c>
      <c r="F82" s="478">
        <f>CPU_!F430</f>
        <v>29.06</v>
      </c>
      <c r="G82" s="51">
        <f t="shared" si="1"/>
        <v>290.60000000000002</v>
      </c>
    </row>
    <row r="83" spans="1:11" s="16" customFormat="1" ht="31.5">
      <c r="A83" s="112" t="s">
        <v>1701</v>
      </c>
      <c r="B83" s="47">
        <f>CPU_!B435</f>
        <v>97238</v>
      </c>
      <c r="C83" s="46" t="str">
        <f>CPU_!C435</f>
        <v>ELETROCALHA LISA OU PERFURADA EM AÇO GALVANIZADO, LARGURA  100MM E ALTURA 50MM, INCLUSIVE EMENDA E FIXAÇÃO - FORNECIMENTO E INSTALAÇÃO</v>
      </c>
      <c r="D83" s="47" t="str">
        <f>CPU_!D435</f>
        <v>M</v>
      </c>
      <c r="E83" s="133">
        <v>5</v>
      </c>
      <c r="F83" s="51">
        <f>CPU_!F435</f>
        <v>150.20164399999999</v>
      </c>
      <c r="G83" s="51">
        <f t="shared" si="1"/>
        <v>751.01</v>
      </c>
    </row>
    <row r="84" spans="1:11" s="16" customFormat="1">
      <c r="A84" s="112" t="s">
        <v>1702</v>
      </c>
      <c r="B84" s="47" t="str">
        <f>CPU_!B441</f>
        <v>PROPRIA</v>
      </c>
      <c r="C84" s="46" t="str">
        <f>CPU_!C441</f>
        <v>Limpeza de placas de sistema fotovoltaico</v>
      </c>
      <c r="D84" s="47" t="str">
        <f>CPU_!D441</f>
        <v>M2</v>
      </c>
      <c r="E84" s="133">
        <v>500</v>
      </c>
      <c r="F84" s="478">
        <f>CPU_!F441</f>
        <v>6.2955599999999992</v>
      </c>
      <c r="G84" s="51">
        <f t="shared" si="1"/>
        <v>3147.78</v>
      </c>
    </row>
    <row r="85" spans="1:11" s="16" customFormat="1" ht="31.5">
      <c r="A85" s="112" t="s">
        <v>1703</v>
      </c>
      <c r="B85" s="47" t="str">
        <f>CPU_!B444</f>
        <v>92364</v>
      </c>
      <c r="C85" s="46" t="str">
        <f>CPU_!C444</f>
        <v>TUBO DE AÇO GALVANIZADO COM COSTURA, CLASSE MÉDIA, DN 32 (1 1/4"), CONEXÃO ROSQUEADA, INSTALADO EM REDE DE ALIMENTAÇÃO PARA HIDRANTE - FORNECIMENTO E INSTALAÇÃO.</v>
      </c>
      <c r="D85" s="47" t="str">
        <f>CPU_!D444</f>
        <v>M</v>
      </c>
      <c r="E85" s="133">
        <v>5</v>
      </c>
      <c r="F85" s="478">
        <f>CPU_!F444</f>
        <v>55.73</v>
      </c>
      <c r="G85" s="51">
        <f t="shared" si="1"/>
        <v>278.64999999999998</v>
      </c>
    </row>
    <row r="86" spans="1:11" s="16" customFormat="1" ht="31.5">
      <c r="A86" s="112" t="s">
        <v>1704</v>
      </c>
      <c r="B86" s="47" t="str">
        <f>CPU_!B448</f>
        <v>92365</v>
      </c>
      <c r="C86" s="46" t="str">
        <f>CPU_!C448</f>
        <v>TUBO DE AÇO GALVANIZADO COM COSTURA, CLASSE MÉDIA, DN 40 (1 1/2"), CONEXÃO ROSQUEADA, INSTALADO EM REDE DE ALIMENTAÇÃO PARA HIDRANTE - FORNECIMENTO E INSTALAÇÃO.</v>
      </c>
      <c r="D86" s="47" t="str">
        <f>CPU_!D448</f>
        <v>M</v>
      </c>
      <c r="E86" s="133">
        <v>4</v>
      </c>
      <c r="F86" s="478">
        <f>CPU_!F448</f>
        <v>64.28</v>
      </c>
      <c r="G86" s="51">
        <f t="shared" si="1"/>
        <v>257.12</v>
      </c>
    </row>
    <row r="87" spans="1:11" s="16" customFormat="1" ht="31.5">
      <c r="A87" s="112" t="s">
        <v>1705</v>
      </c>
      <c r="B87" s="47" t="str">
        <f>CPU_!B452</f>
        <v>92652</v>
      </c>
      <c r="C87" s="46" t="str">
        <f>CPU_!C452</f>
        <v>TUBO DE AÇO GALVANIZADO COM COSTURA, CLASSE MÉDIA, CONEXÃO ROSQUEADA, DN 32 (1 1/4"), INSTALADO EM REDE DE ALIMENTAÇÃO PARA SPRINKLER - FORNECIMENTO E INSTALAÇÃO. AF_12/2015</v>
      </c>
      <c r="D87" s="47" t="str">
        <f>CPU_!D452</f>
        <v>M</v>
      </c>
      <c r="E87" s="133">
        <v>4</v>
      </c>
      <c r="F87" s="478">
        <f>CPU_!F452</f>
        <v>61.01</v>
      </c>
      <c r="G87" s="51">
        <f t="shared" si="1"/>
        <v>244.04</v>
      </c>
    </row>
    <row r="88" spans="1:11" s="16" customFormat="1" ht="31.5">
      <c r="A88" s="112" t="s">
        <v>1706</v>
      </c>
      <c r="B88" s="47" t="str">
        <f>CPU_!B456</f>
        <v>101907</v>
      </c>
      <c r="C88" s="46" t="str">
        <f>CPU_!C456</f>
        <v xml:space="preserve">EXTINTOR DE INCÊNDIO PORTÁTIL COM CARGA DE CO2 DE 6 KG, CLASSE BC - FORNECIMENTO E INSTALAÇÃO. </v>
      </c>
      <c r="D88" s="47" t="str">
        <f>CPU_!D456</f>
        <v>UN</v>
      </c>
      <c r="E88" s="133">
        <v>1</v>
      </c>
      <c r="F88" s="478">
        <f>CPU_!F456</f>
        <v>693.67</v>
      </c>
      <c r="G88" s="51">
        <f t="shared" si="1"/>
        <v>693.67</v>
      </c>
    </row>
    <row r="89" spans="1:11" s="16" customFormat="1" ht="31.5">
      <c r="A89" s="112" t="s">
        <v>1707</v>
      </c>
      <c r="B89" s="476">
        <f ca="1">HYPERLINK("#"&amp;CELL("address",OFFSET(CPU_!$B$1,MATCH(101909,CPU_!$B:$B)-1,3)),101909)</f>
        <v>101909</v>
      </c>
      <c r="C89" s="46" t="str">
        <f>CPU_!C461</f>
        <v xml:space="preserve">EXTINTOR DE INCÊNDIO PORTÁTIL COM CARGA DE PQS DE 6 KG, CLASSE BC - FORNECIMENTO E INSTALAÇÃO. </v>
      </c>
      <c r="D89" s="47" t="str">
        <f>CPU_!D461</f>
        <v>UN</v>
      </c>
      <c r="E89" s="133">
        <v>1</v>
      </c>
      <c r="F89" s="478">
        <f>CPU_!F461</f>
        <v>248.67</v>
      </c>
      <c r="G89" s="51">
        <f t="shared" si="1"/>
        <v>248.67</v>
      </c>
    </row>
    <row r="90" spans="1:11" s="16" customFormat="1">
      <c r="A90" s="112" t="s">
        <v>1708</v>
      </c>
      <c r="B90" s="48" t="str">
        <f>CPU_!B466</f>
        <v>PROPRIA</v>
      </c>
      <c r="C90" s="125" t="str">
        <f>CPU_!C466</f>
        <v>Manutenção nível 1 e 2 para Extintor de incêndio com carga de PQS – 4kg - BC, com recarga</v>
      </c>
      <c r="D90" s="48" t="str">
        <f>CPU_!D466</f>
        <v>UNID</v>
      </c>
      <c r="E90" s="135">
        <v>40</v>
      </c>
      <c r="F90" s="478">
        <f>CPU_!F466</f>
        <v>16.88</v>
      </c>
      <c r="G90" s="51">
        <f t="shared" si="1"/>
        <v>675.2</v>
      </c>
      <c r="K90" s="34"/>
    </row>
    <row r="91" spans="1:11" s="16" customFormat="1">
      <c r="A91" s="112" t="s">
        <v>1709</v>
      </c>
      <c r="B91" s="48" t="str">
        <f>CPU_!B467</f>
        <v>PROPRIA</v>
      </c>
      <c r="C91" s="125" t="str">
        <f>CPU_!C467</f>
        <v>Manutenção nível 1 e 2 para Extintor de incêndio com carga de PQS – 6kg - ABC, com recarga</v>
      </c>
      <c r="D91" s="48" t="str">
        <f>CPU_!D467</f>
        <v>UNID</v>
      </c>
      <c r="E91" s="135">
        <f>51+17</f>
        <v>68</v>
      </c>
      <c r="F91" s="478">
        <f>CPU_!F467</f>
        <v>23.63</v>
      </c>
      <c r="G91" s="51">
        <f t="shared" si="1"/>
        <v>1606.84</v>
      </c>
      <c r="K91" s="34"/>
    </row>
    <row r="92" spans="1:11" s="16" customFormat="1">
      <c r="A92" s="112" t="s">
        <v>1710</v>
      </c>
      <c r="B92" s="48" t="str">
        <f>CPU_!B468</f>
        <v>PROPRIA</v>
      </c>
      <c r="C92" s="125" t="str">
        <f>CPU_!C468</f>
        <v>Manutenção nível 1 e 2 para Extintor de incêndio com carga de PQS – 4kg – ABC</v>
      </c>
      <c r="D92" s="48" t="str">
        <f>CPU_!D468</f>
        <v>UNID</v>
      </c>
      <c r="E92" s="135">
        <v>1</v>
      </c>
      <c r="F92" s="478">
        <f>CPU_!F468</f>
        <v>23.63</v>
      </c>
      <c r="G92" s="51">
        <f t="shared" si="1"/>
        <v>23.63</v>
      </c>
      <c r="K92" s="34"/>
    </row>
    <row r="93" spans="1:11" s="16" customFormat="1">
      <c r="A93" s="112" t="s">
        <v>1711</v>
      </c>
      <c r="B93" s="48" t="str">
        <f>CPU_!B469</f>
        <v>PROPRIA</v>
      </c>
      <c r="C93" s="125" t="str">
        <f>CPU_!C469</f>
        <v>Manutenção nível 1 e 2 para Extintor de incêndio com carga de Água pressurizada – 10 litros, com recarga</v>
      </c>
      <c r="D93" s="48" t="str">
        <f>CPU_!D469</f>
        <v>UNID</v>
      </c>
      <c r="E93" s="135">
        <v>9</v>
      </c>
      <c r="F93" s="478">
        <f>CPU_!F469</f>
        <v>15.35</v>
      </c>
      <c r="G93" s="51">
        <f t="shared" si="1"/>
        <v>138.15</v>
      </c>
      <c r="K93" s="34"/>
    </row>
    <row r="94" spans="1:11" s="16" customFormat="1">
      <c r="A94" s="112" t="s">
        <v>1712</v>
      </c>
      <c r="B94" s="48" t="str">
        <f>CPU_!B470</f>
        <v>PROPRIA</v>
      </c>
      <c r="C94" s="125" t="str">
        <f>CPU_!C470</f>
        <v>Manutenção nível 1 e 2 Extintor de incêndio com carga de CO2 – 6kg, com recarga</v>
      </c>
      <c r="D94" s="48" t="str">
        <f>CPU_!D470</f>
        <v>UNID</v>
      </c>
      <c r="E94" s="135">
        <f>2+8</f>
        <v>10</v>
      </c>
      <c r="F94" s="478">
        <f>CPU_!F470</f>
        <v>65.03</v>
      </c>
      <c r="G94" s="51">
        <f t="shared" si="1"/>
        <v>650.29999999999995</v>
      </c>
      <c r="K94" s="34"/>
    </row>
    <row r="95" spans="1:11" s="16" customFormat="1">
      <c r="A95" s="112" t="s">
        <v>1713</v>
      </c>
      <c r="B95" s="48" t="str">
        <f>CPU_!B471</f>
        <v>PROPRIA</v>
      </c>
      <c r="C95" s="125" t="str">
        <f>CPU_!C471</f>
        <v>Manutenção nível 3 -Teste hidrostático para Extintor de incêndio com carga de PQS – 4kg - BC</v>
      </c>
      <c r="D95" s="48" t="str">
        <f>CPU_!D471</f>
        <v>UNID</v>
      </c>
      <c r="E95" s="135">
        <v>40</v>
      </c>
      <c r="F95" s="478">
        <f>CPU_!F471</f>
        <v>17.88</v>
      </c>
      <c r="G95" s="51">
        <f t="shared" si="1"/>
        <v>715.2</v>
      </c>
    </row>
    <row r="96" spans="1:11" s="16" customFormat="1">
      <c r="A96" s="112" t="s">
        <v>1714</v>
      </c>
      <c r="B96" s="48" t="str">
        <f>CPU_!B472</f>
        <v>PROPRIA</v>
      </c>
      <c r="C96" s="125" t="str">
        <f>CPU_!C472</f>
        <v>Manutenção nível 3 - Teste hidrostático para Extintor de incêndio com carga de PQS – 6kg - ABC</v>
      </c>
      <c r="D96" s="48" t="str">
        <f>CPU_!D472</f>
        <v>UNID</v>
      </c>
      <c r="E96" s="135">
        <f>51+17</f>
        <v>68</v>
      </c>
      <c r="F96" s="478">
        <f>CPU_!F472</f>
        <v>20.13</v>
      </c>
      <c r="G96" s="51">
        <f t="shared" si="1"/>
        <v>1368.84</v>
      </c>
    </row>
    <row r="97" spans="1:7" s="16" customFormat="1">
      <c r="A97" s="112" t="s">
        <v>1715</v>
      </c>
      <c r="B97" s="48" t="str">
        <f>CPU_!B473</f>
        <v>PROPRIA</v>
      </c>
      <c r="C97" s="125" t="str">
        <f>CPU_!C473</f>
        <v>Manutenção nível 3 - Teste hidrostático para Extintor de incêndio com carga de PQS – 4kg – ABC</v>
      </c>
      <c r="D97" s="48" t="str">
        <f>CPU_!D473</f>
        <v>UNID</v>
      </c>
      <c r="E97" s="135">
        <v>1</v>
      </c>
      <c r="F97" s="478">
        <f>CPU_!F473</f>
        <v>20.13</v>
      </c>
      <c r="G97" s="51">
        <f t="shared" si="1"/>
        <v>20.13</v>
      </c>
    </row>
    <row r="98" spans="1:7" s="16" customFormat="1">
      <c r="A98" s="112" t="s">
        <v>1716</v>
      </c>
      <c r="B98" s="48" t="str">
        <f>CPU_!B474</f>
        <v>PROPRIA</v>
      </c>
      <c r="C98" s="125" t="str">
        <f>CPU_!C474</f>
        <v>Manutenção nível 3 - Teste hidrostático para Extintor de incêndio com carga de Água pressurizada – 10 litros</v>
      </c>
      <c r="D98" s="48" t="str">
        <f>CPU_!D474</f>
        <v>UNID</v>
      </c>
      <c r="E98" s="135">
        <v>9</v>
      </c>
      <c r="F98" s="478">
        <f>CPU_!F474</f>
        <v>15.5</v>
      </c>
      <c r="G98" s="51">
        <f t="shared" si="1"/>
        <v>139.5</v>
      </c>
    </row>
    <row r="99" spans="1:7" s="16" customFormat="1">
      <c r="A99" s="112" t="s">
        <v>1717</v>
      </c>
      <c r="B99" s="48" t="str">
        <f>CPU_!B475</f>
        <v>PROPRIA</v>
      </c>
      <c r="C99" s="125" t="str">
        <f>CPU_!C475</f>
        <v>Manutenção nível 3 - Teste hidrostático Extintor de incêndio com carga de CO2 – 6kg</v>
      </c>
      <c r="D99" s="48" t="str">
        <f>CPU_!D475</f>
        <v>UNID</v>
      </c>
      <c r="E99" s="135">
        <f>2+8</f>
        <v>10</v>
      </c>
      <c r="F99" s="478">
        <f>CPU_!F475</f>
        <v>51.25</v>
      </c>
      <c r="G99" s="51">
        <f t="shared" si="1"/>
        <v>512.5</v>
      </c>
    </row>
    <row r="100" spans="1:7" s="16" customFormat="1">
      <c r="A100" s="112" t="s">
        <v>1718</v>
      </c>
      <c r="B100" s="48" t="str">
        <f>CPU_!B476</f>
        <v>PROPRIA</v>
      </c>
      <c r="C100" s="125" t="str">
        <f>CPU_!C476</f>
        <v>Teste hidrostático de mangueira de incêndio com emissão de relatório</v>
      </c>
      <c r="D100" s="48" t="str">
        <f>CPU_!D476</f>
        <v>UNID</v>
      </c>
      <c r="E100" s="135">
        <v>145</v>
      </c>
      <c r="F100" s="478">
        <f>CPU_!F476</f>
        <v>10.45</v>
      </c>
      <c r="G100" s="51">
        <f t="shared" si="1"/>
        <v>1515.25</v>
      </c>
    </row>
    <row r="101" spans="1:7" s="16" customFormat="1" ht="31.5">
      <c r="A101" s="112" t="s">
        <v>1719</v>
      </c>
      <c r="B101" s="45" t="str">
        <f>CPU_!B477</f>
        <v>94991</v>
      </c>
      <c r="C101" s="46" t="str">
        <f>CPU_!C477</f>
        <v>EXECUÇÃO DE PASSEIO (CALÇADA) OU PISO DE CONCRETO COM CONCRETO MOLDADO IN LOCO, USINADO, ACABAMENTO CONVENCIONAL, NÃO ARMADO. AF_08/2022</v>
      </c>
      <c r="D101" s="45" t="str">
        <f>CPU_!D477</f>
        <v>M3</v>
      </c>
      <c r="E101" s="133">
        <v>5</v>
      </c>
      <c r="F101" s="478">
        <f>CPU_!F477</f>
        <v>779.07</v>
      </c>
      <c r="G101" s="51">
        <f t="shared" si="1"/>
        <v>3895.35</v>
      </c>
    </row>
    <row r="102" spans="1:7" s="16" customFormat="1">
      <c r="A102" s="112" t="s">
        <v>1720</v>
      </c>
      <c r="B102" s="45">
        <f>CPU_!B486</f>
        <v>95241</v>
      </c>
      <c r="C102" s="46" t="str">
        <f>CPU_!C486</f>
        <v>LASTRO DE CONCRETO MAGRO, APLICADO EM PISOS, LAJES SOBRE SOLO OU RADIER, ESPESSURA DE 5CM</v>
      </c>
      <c r="D102" s="45" t="str">
        <f>CPU_!D486</f>
        <v>M2</v>
      </c>
      <c r="E102" s="133">
        <v>50</v>
      </c>
      <c r="F102" s="478">
        <f>CPU_!F486</f>
        <v>46.65</v>
      </c>
      <c r="G102" s="51">
        <f t="shared" si="1"/>
        <v>2332.5</v>
      </c>
    </row>
    <row r="103" spans="1:7" s="16" customFormat="1" ht="31.5">
      <c r="A103" s="112" t="s">
        <v>1721</v>
      </c>
      <c r="B103" s="45">
        <f>CPU_!B490</f>
        <v>96624</v>
      </c>
      <c r="C103" s="46" t="str">
        <f>CPU_!C490</f>
        <v>LASTRO COM MATERIAL GRANULAR (PEDRA BRITADA N.2), APLICADO EM PISOS OU LAJES SOBRE SOLO, ESPESSURA DE *10 CM*</v>
      </c>
      <c r="D103" s="45" t="str">
        <f>CPU_!D490</f>
        <v>M3</v>
      </c>
      <c r="E103" s="133">
        <v>20</v>
      </c>
      <c r="F103" s="478">
        <f>CPU_!F490</f>
        <v>290.31</v>
      </c>
      <c r="G103" s="51">
        <f t="shared" si="1"/>
        <v>5806.2</v>
      </c>
    </row>
    <row r="104" spans="1:7" s="16" customFormat="1">
      <c r="A104" s="112" t="s">
        <v>1722</v>
      </c>
      <c r="B104" s="47">
        <f>CPU_!B496</f>
        <v>103913</v>
      </c>
      <c r="C104" s="46" t="str">
        <f>CPU_!C496</f>
        <v>EXECUÇÃO DE PISO INDUSTRIAL DE CONCRETO ARMADO, FCK = 20 MPA, ESPESSURA DE 12CM</v>
      </c>
      <c r="D104" s="47" t="str">
        <f>CPU_!D496</f>
        <v>M2</v>
      </c>
      <c r="E104" s="133">
        <v>50</v>
      </c>
      <c r="F104" s="478">
        <f>CPU_!F496</f>
        <v>124.75</v>
      </c>
      <c r="G104" s="51">
        <f t="shared" si="1"/>
        <v>6237.5</v>
      </c>
    </row>
    <row r="105" spans="1:7" s="16" customFormat="1" ht="31.5">
      <c r="A105" s="112" t="s">
        <v>1723</v>
      </c>
      <c r="B105" s="47">
        <f>CPU_!B510</f>
        <v>97083</v>
      </c>
      <c r="C105" s="46" t="str">
        <f>CPU_!C510</f>
        <v>COMPACTAÇÃO MECÂNICA DE SOLO PARA EXECUÇÃO DE RADIER, PISO DE CONCRETO OU LAJE SOBRE SOLO, COM COMPACTADOR DE SOLOS A PERCUSSÃO</v>
      </c>
      <c r="D105" s="47" t="str">
        <f>CPU_!D510</f>
        <v>M2</v>
      </c>
      <c r="E105" s="133">
        <v>50</v>
      </c>
      <c r="F105" s="478">
        <f>CPU_!F510</f>
        <v>3.9</v>
      </c>
      <c r="G105" s="51">
        <f t="shared" si="1"/>
        <v>195</v>
      </c>
    </row>
    <row r="106" spans="1:7" s="16" customFormat="1" ht="31.5">
      <c r="A106" s="112" t="s">
        <v>1724</v>
      </c>
      <c r="B106" s="47">
        <f>CPU_!B515</f>
        <v>101090</v>
      </c>
      <c r="C106" s="46" t="str">
        <f>CPU_!C515</f>
        <v>PISO EM PEDRA PORTUGUESA ASSENTADO SOBRE ARGAMASSA SECA DE CIMENTO E AREIA, REJUNTADO COM CIMENTO</v>
      </c>
      <c r="D106" s="47" t="str">
        <f>CPU_!D515</f>
        <v>M2</v>
      </c>
      <c r="E106" s="133">
        <v>10</v>
      </c>
      <c r="F106" s="478">
        <f>CPU_!F515</f>
        <v>243.68</v>
      </c>
      <c r="G106" s="51">
        <f t="shared" si="1"/>
        <v>2436.8000000000002</v>
      </c>
    </row>
    <row r="107" spans="1:7" s="16" customFormat="1">
      <c r="A107" s="112" t="s">
        <v>1725</v>
      </c>
      <c r="B107" s="47" t="str">
        <f>CPU_!B522</f>
        <v>PROPRIA</v>
      </c>
      <c r="C107" s="46" t="str">
        <f>CPU_!C522</f>
        <v>LIMPEZA MANUAL DE VEGETAÇÃO EM TERRENO COM ENXADA</v>
      </c>
      <c r="D107" s="47" t="str">
        <f>CPU_!D522</f>
        <v>M2</v>
      </c>
      <c r="E107" s="133">
        <v>2330</v>
      </c>
      <c r="F107" s="478">
        <f>CPU_!F522</f>
        <v>0.54759999999999998</v>
      </c>
      <c r="G107" s="51">
        <f t="shared" si="1"/>
        <v>1275.9100000000001</v>
      </c>
    </row>
    <row r="108" spans="1:7" s="16" customFormat="1">
      <c r="A108" s="112" t="s">
        <v>1726</v>
      </c>
      <c r="B108" s="47" t="str">
        <f>CPU_!B525</f>
        <v>PROPRIA</v>
      </c>
      <c r="C108" s="120" t="str">
        <f>CPU_!C525</f>
        <v>Locação de caçamba</v>
      </c>
      <c r="D108" s="47" t="str">
        <f>CPU_!D525</f>
        <v>unid</v>
      </c>
      <c r="E108" s="133">
        <v>15</v>
      </c>
      <c r="F108" s="478">
        <f>CPU_!F525</f>
        <v>380.95</v>
      </c>
      <c r="G108" s="51">
        <f t="shared" si="1"/>
        <v>5714.25</v>
      </c>
    </row>
    <row r="109" spans="1:7" s="16" customFormat="1">
      <c r="A109" s="112" t="s">
        <v>1727</v>
      </c>
      <c r="B109" s="47" t="str">
        <f>CPU_!B527</f>
        <v>PROPRIA</v>
      </c>
      <c r="C109" s="120" t="str">
        <f>CPU_!C527</f>
        <v>Laudo qualidade de água</v>
      </c>
      <c r="D109" s="47" t="str">
        <f>CPU_!D527</f>
        <v>ponto</v>
      </c>
      <c r="E109" s="133">
        <v>20</v>
      </c>
      <c r="F109" s="478">
        <f>CPU_!F527</f>
        <v>290</v>
      </c>
      <c r="G109" s="51">
        <f t="shared" si="1"/>
        <v>5800</v>
      </c>
    </row>
    <row r="110" spans="1:7">
      <c r="A110" s="112" t="s">
        <v>1728</v>
      </c>
      <c r="B110" s="23">
        <f>CPU_!B529</f>
        <v>90779</v>
      </c>
      <c r="C110" s="24" t="str">
        <f>CPU_!C529</f>
        <v>MAO DE OBRA - Engenheiro senior com encargos complementares</v>
      </c>
      <c r="D110" s="23" t="str">
        <f>CPU_!D529</f>
        <v>H</v>
      </c>
      <c r="E110" s="135">
        <v>80</v>
      </c>
      <c r="F110" s="22">
        <f>CPU_!F529</f>
        <v>228.81</v>
      </c>
      <c r="G110" s="51">
        <f t="shared" si="1"/>
        <v>18304.8</v>
      </c>
    </row>
    <row r="111" spans="1:7">
      <c r="A111" s="112" t="s">
        <v>1729</v>
      </c>
      <c r="B111" s="23" t="str">
        <f>CPU_!B530</f>
        <v>90770</v>
      </c>
      <c r="C111" s="24" t="str">
        <f>CPU_!C530</f>
        <v>MAO DE OBRA - Arquiteto senior com encargos complementares</v>
      </c>
      <c r="D111" s="23" t="str">
        <f>CPU_!D530</f>
        <v>H</v>
      </c>
      <c r="E111" s="135">
        <v>150</v>
      </c>
      <c r="F111" s="22">
        <f>CPU_!F530</f>
        <v>151.07</v>
      </c>
      <c r="G111" s="51">
        <f t="shared" si="1"/>
        <v>22660.5</v>
      </c>
    </row>
    <row r="112" spans="1:7">
      <c r="A112" s="112" t="s">
        <v>1730</v>
      </c>
      <c r="B112" s="23" t="str">
        <f>CPU_!B531</f>
        <v>88266</v>
      </c>
      <c r="C112" s="24" t="str">
        <f>CPU_!C531</f>
        <v>MAO DE OBRA - Técnico eletrotécnico, eletrônico e demais especialidades com encargos complementares</v>
      </c>
      <c r="D112" s="23" t="str">
        <f>CPU_!D531</f>
        <v>H</v>
      </c>
      <c r="E112" s="135">
        <v>100</v>
      </c>
      <c r="F112" s="22">
        <f>CPU_!F531</f>
        <v>40.200000000000003</v>
      </c>
      <c r="G112" s="51">
        <f t="shared" si="1"/>
        <v>4020</v>
      </c>
    </row>
    <row r="113" spans="1:7">
      <c r="A113" s="112" t="s">
        <v>1731</v>
      </c>
      <c r="B113" s="23" t="str">
        <f>CPU_!B532</f>
        <v>90776</v>
      </c>
      <c r="C113" s="24" t="str">
        <f>CPU_!C532</f>
        <v>MAO DE OBRA -  Encarregado geral com encargos complementares</v>
      </c>
      <c r="D113" s="23" t="str">
        <f>CPU_!D532</f>
        <v>H</v>
      </c>
      <c r="E113" s="135">
        <f>8*2*12</f>
        <v>192</v>
      </c>
      <c r="F113" s="22">
        <f>CPU_!F532</f>
        <v>32.08</v>
      </c>
      <c r="G113" s="51">
        <f t="shared" si="1"/>
        <v>6159.36</v>
      </c>
    </row>
    <row r="114" spans="1:7" ht="31.5">
      <c r="A114" s="112" t="s">
        <v>1732</v>
      </c>
      <c r="B114" s="23" t="str">
        <f>CPU_!B533</f>
        <v>88264</v>
      </c>
      <c r="C114" s="24" t="str">
        <f>CPU_!C533</f>
        <v>MAO DE OBRA - Oficial (Pedreiro, Serralheiro, ladrilheiro, carpinteiro, armador, eletricista, marceneiro, serralheiro, soldador, gesseiro, montador, pintor, impermeabilizador e vidraceiro) com encargos complementares</v>
      </c>
      <c r="D114" s="23" t="str">
        <f>CPU_!D533</f>
        <v>H</v>
      </c>
      <c r="E114" s="135">
        <v>500</v>
      </c>
      <c r="F114" s="22">
        <f>CPU_!F533</f>
        <v>33.25</v>
      </c>
      <c r="G114" s="51">
        <f t="shared" si="1"/>
        <v>16625</v>
      </c>
    </row>
    <row r="115" spans="1:7">
      <c r="A115" s="112" t="s">
        <v>1733</v>
      </c>
      <c r="B115" s="23" t="str">
        <f>CPU_!B534</f>
        <v>100301</v>
      </c>
      <c r="C115" s="24" t="str">
        <f>CPU_!C534</f>
        <v>MAO DE OBRA -  Ajudante geral com encargos complementares</v>
      </c>
      <c r="D115" s="23" t="str">
        <f>CPU_!D534</f>
        <v>H</v>
      </c>
      <c r="E115" s="135">
        <v>400</v>
      </c>
      <c r="F115" s="22">
        <f>CPU_!F534</f>
        <v>27.63</v>
      </c>
      <c r="G115" s="51">
        <f t="shared" si="1"/>
        <v>11052</v>
      </c>
    </row>
    <row r="116" spans="1:7">
      <c r="A116" s="112" t="s">
        <v>1734</v>
      </c>
      <c r="B116" s="23">
        <f>CPU_!B535</f>
        <v>88273</v>
      </c>
      <c r="C116" s="24" t="str">
        <f>CPU_!C535</f>
        <v>MAO DE OBRA - Marceneiro especializado em manutenção de móveis - pequenos reparos e ajustes - com encargos complementares</v>
      </c>
      <c r="D116" s="23" t="str">
        <f>CPU_!D535</f>
        <v>H</v>
      </c>
      <c r="E116" s="135">
        <f>80</f>
        <v>80</v>
      </c>
      <c r="F116" s="22">
        <f>CPU_!F535</f>
        <v>30.51</v>
      </c>
      <c r="G116" s="51">
        <f t="shared" si="1"/>
        <v>2440.8000000000002</v>
      </c>
    </row>
    <row r="117" spans="1:7">
      <c r="A117" s="126"/>
      <c r="B117" s="127"/>
      <c r="C117" s="81"/>
      <c r="D117" s="81"/>
      <c r="E117" s="136"/>
      <c r="F117" s="64"/>
      <c r="G117" s="65"/>
    </row>
    <row r="118" spans="1:7">
      <c r="A118" s="816" t="s">
        <v>182</v>
      </c>
      <c r="B118" s="816"/>
      <c r="C118" s="816"/>
      <c r="D118" s="816"/>
      <c r="E118" s="816"/>
      <c r="F118" s="816"/>
      <c r="G118" s="519">
        <f>SUM(G4:G116)</f>
        <v>809827.65999999992</v>
      </c>
    </row>
    <row r="119" spans="1:7">
      <c r="A119" s="816" t="s">
        <v>190</v>
      </c>
      <c r="B119" s="816"/>
      <c r="C119" s="816"/>
      <c r="D119" s="816"/>
      <c r="E119" s="816"/>
      <c r="F119" s="816"/>
      <c r="G119" s="518">
        <f>BDI!O37</f>
        <v>0.28359639436619744</v>
      </c>
    </row>
    <row r="120" spans="1:7">
      <c r="A120" s="816" t="s">
        <v>184</v>
      </c>
      <c r="B120" s="816"/>
      <c r="C120" s="816"/>
      <c r="D120" s="816"/>
      <c r="E120" s="816"/>
      <c r="F120" s="816"/>
      <c r="G120" s="519">
        <f>ROUND((G118+(G118*G119)),2)</f>
        <v>1039491.86</v>
      </c>
    </row>
    <row r="122" spans="1:7">
      <c r="A122" s="815" t="s">
        <v>191</v>
      </c>
      <c r="B122" s="815"/>
      <c r="C122" s="815"/>
      <c r="D122" s="815"/>
      <c r="E122" s="815"/>
      <c r="F122" s="815"/>
      <c r="G122" s="814"/>
    </row>
    <row r="123" spans="1:7">
      <c r="A123" s="813" t="s">
        <v>192</v>
      </c>
      <c r="B123" s="814"/>
      <c r="C123" s="814"/>
      <c r="D123" s="814"/>
      <c r="E123" s="814"/>
      <c r="F123" s="814"/>
      <c r="G123" s="814"/>
    </row>
    <row r="124" spans="1:7">
      <c r="G124" s="571"/>
    </row>
    <row r="125" spans="1:7">
      <c r="B125" s="15"/>
      <c r="C125" s="121"/>
      <c r="D125" s="15"/>
      <c r="E125" s="138"/>
      <c r="F125" s="16"/>
      <c r="G125" s="15"/>
    </row>
    <row r="126" spans="1:7">
      <c r="B126" s="15"/>
      <c r="C126" s="121"/>
      <c r="D126" s="15"/>
      <c r="E126" s="138"/>
      <c r="F126" s="16"/>
      <c r="G126" s="15"/>
    </row>
    <row r="127" spans="1:7">
      <c r="B127" s="15"/>
      <c r="C127" s="121"/>
      <c r="D127" s="15"/>
      <c r="E127" s="138"/>
      <c r="F127" s="16"/>
      <c r="G127" s="15"/>
    </row>
    <row r="128" spans="1:7">
      <c r="B128" s="15"/>
      <c r="C128" s="121"/>
      <c r="D128" s="15"/>
      <c r="E128" s="138"/>
      <c r="F128" s="16"/>
      <c r="G128" s="15"/>
    </row>
    <row r="129" spans="2:7">
      <c r="B129" s="15"/>
      <c r="C129" s="121"/>
      <c r="D129" s="15"/>
      <c r="E129" s="138"/>
      <c r="F129" s="16"/>
      <c r="G129" s="15"/>
    </row>
    <row r="130" spans="2:7">
      <c r="B130" s="15"/>
      <c r="C130" s="121"/>
      <c r="D130" s="15"/>
      <c r="E130" s="138"/>
      <c r="F130" s="16"/>
      <c r="G130" s="15"/>
    </row>
    <row r="131" spans="2:7">
      <c r="B131" s="15"/>
      <c r="C131" s="121"/>
      <c r="D131" s="15"/>
      <c r="E131" s="138"/>
      <c r="F131" s="16"/>
      <c r="G131" s="15"/>
    </row>
    <row r="132" spans="2:7">
      <c r="B132" s="15"/>
      <c r="C132" s="121"/>
      <c r="D132" s="15"/>
      <c r="E132" s="138"/>
      <c r="F132" s="16"/>
      <c r="G132" s="15"/>
    </row>
    <row r="133" spans="2:7">
      <c r="B133" s="15"/>
      <c r="C133" s="121"/>
      <c r="D133" s="15"/>
      <c r="E133" s="138"/>
      <c r="F133" s="16"/>
      <c r="G133" s="15"/>
    </row>
    <row r="134" spans="2:7">
      <c r="B134" s="15"/>
      <c r="C134" s="121"/>
      <c r="D134" s="15"/>
      <c r="E134" s="138"/>
      <c r="F134" s="16"/>
      <c r="G134" s="15"/>
    </row>
    <row r="135" spans="2:7">
      <c r="B135" s="15"/>
      <c r="C135" s="121"/>
      <c r="D135" s="15"/>
      <c r="E135" s="138"/>
      <c r="F135" s="16"/>
      <c r="G135" s="15"/>
    </row>
    <row r="136" spans="2:7">
      <c r="B136" s="15"/>
      <c r="C136" s="121"/>
      <c r="D136" s="15"/>
      <c r="E136" s="423"/>
      <c r="F136" s="16"/>
      <c r="G136" s="15"/>
    </row>
    <row r="137" spans="2:7">
      <c r="B137" s="15"/>
      <c r="C137" s="121"/>
      <c r="D137" s="15"/>
      <c r="E137" s="138"/>
      <c r="F137" s="16"/>
      <c r="G137" s="15"/>
    </row>
    <row r="138" spans="2:7">
      <c r="B138" s="15"/>
      <c r="C138" s="121"/>
      <c r="D138" s="15"/>
      <c r="E138" s="138"/>
      <c r="F138" s="16"/>
      <c r="G138" s="15"/>
    </row>
    <row r="139" spans="2:7">
      <c r="B139" s="15"/>
      <c r="C139" s="121"/>
      <c r="D139" s="15"/>
      <c r="E139" s="138"/>
      <c r="F139" s="16"/>
      <c r="G139" s="15"/>
    </row>
    <row r="140" spans="2:7">
      <c r="B140" s="15"/>
      <c r="C140" s="121"/>
      <c r="D140" s="15"/>
      <c r="E140" s="138"/>
      <c r="F140" s="16"/>
      <c r="G140" s="15"/>
    </row>
    <row r="141" spans="2:7">
      <c r="B141" s="15"/>
      <c r="C141" s="121"/>
      <c r="D141" s="15"/>
      <c r="E141" s="138"/>
      <c r="F141" s="16"/>
      <c r="G141" s="15"/>
    </row>
    <row r="142" spans="2:7">
      <c r="B142" s="15"/>
      <c r="C142" s="121"/>
      <c r="D142" s="15"/>
      <c r="E142" s="138"/>
      <c r="F142" s="16"/>
      <c r="G142" s="15"/>
    </row>
    <row r="143" spans="2:7">
      <c r="B143" s="15"/>
      <c r="C143" s="121"/>
      <c r="D143" s="15"/>
      <c r="E143" s="138"/>
      <c r="F143" s="16"/>
      <c r="G143" s="15"/>
    </row>
    <row r="144" spans="2:7">
      <c r="B144" s="15"/>
      <c r="C144" s="121"/>
      <c r="D144" s="15"/>
      <c r="E144" s="138"/>
      <c r="F144" s="16"/>
      <c r="G144" s="15"/>
    </row>
  </sheetData>
  <mergeCells count="7">
    <mergeCell ref="A1:G1"/>
    <mergeCell ref="A2:G2"/>
    <mergeCell ref="A123:G123"/>
    <mergeCell ref="A122:G122"/>
    <mergeCell ref="A118:F118"/>
    <mergeCell ref="A119:F119"/>
    <mergeCell ref="A120:F120"/>
  </mergeCells>
  <phoneticPr fontId="15" type="noConversion"/>
  <conditionalFormatting sqref="E115:E116">
    <cfRule type="expression" dxfId="99" priority="19" stopIfTrue="1">
      <formula>AND(#REF!&lt;&gt;"COMPOSICAO",#REF!&lt;&gt;"INSUMO",#REF!&lt;&gt;"")</formula>
    </cfRule>
    <cfRule type="expression" dxfId="98" priority="20" stopIfTrue="1">
      <formula>AND(OR(#REF!="COMPOSICAO",#REF!="INSUMO",#REF!&lt;&gt;""),#REF!&lt;&gt;"")</formula>
    </cfRule>
  </conditionalFormatting>
  <conditionalFormatting sqref="E65:F70">
    <cfRule type="expression" dxfId="97" priority="513" stopIfTrue="1">
      <formula>AND(#REF!&lt;&gt;"COMPOSICAO",#REF!&lt;&gt;"INSUMO",#REF!&lt;&gt;"")</formula>
    </cfRule>
    <cfRule type="expression" dxfId="96" priority="514" stopIfTrue="1">
      <formula>AND(OR(#REF!="COMPOSICAO",#REF!="INSUMO",#REF!&lt;&gt;""),#REF!&lt;&gt;"")</formula>
    </cfRule>
  </conditionalFormatting>
  <conditionalFormatting sqref="F4:F39 E40:F53 F77:F81">
    <cfRule type="expression" dxfId="95" priority="9" stopIfTrue="1">
      <formula>AND(#REF!&lt;&gt;"COMPOSICAO",#REF!&lt;&gt;"INSUMO",#REF!&lt;&gt;"")</formula>
    </cfRule>
    <cfRule type="expression" dxfId="94" priority="10" stopIfTrue="1">
      <formula>AND(OR(#REF!="COMPOSICAO",#REF!="INSUMO",#REF!&lt;&gt;""),#REF!&lt;&gt;"")</formula>
    </cfRule>
  </conditionalFormatting>
  <conditionalFormatting sqref="F54:F63 C117:E117">
    <cfRule type="expression" dxfId="93" priority="1" stopIfTrue="1">
      <formula>AND(#REF!&lt;&gt;"COMPOSICAO",#REF!&lt;&gt;"INSUMO",#REF!&lt;&gt;"")</formula>
    </cfRule>
    <cfRule type="expression" dxfId="92" priority="2" stopIfTrue="1">
      <formula>AND(OR(#REF!="COMPOSICAO",#REF!="INSUMO",#REF!&lt;&gt;""),#REF!&lt;&gt;"")</formula>
    </cfRule>
  </conditionalFormatting>
  <conditionalFormatting sqref="F71:F75">
    <cfRule type="expression" dxfId="91" priority="77" stopIfTrue="1">
      <formula>AND(#REF!&lt;&gt;"COMPOSICAO",#REF!&lt;&gt;"INSUMO",#REF!&lt;&gt;"")</formula>
    </cfRule>
    <cfRule type="expression" dxfId="90" priority="78" stopIfTrue="1">
      <formula>AND(OR(#REF!="COMPOSICAO",#REF!="INSUMO",#REF!&lt;&gt;""),#REF!&lt;&gt;"")</formula>
    </cfRule>
  </conditionalFormatting>
  <conditionalFormatting sqref="F83">
    <cfRule type="expression" dxfId="89" priority="51" stopIfTrue="1">
      <formula>AND(#REF!&lt;&gt;"COMPOSICAO",#REF!&lt;&gt;"INSUMO",#REF!&lt;&gt;"")</formula>
    </cfRule>
    <cfRule type="expression" dxfId="88" priority="52" stopIfTrue="1">
      <formula>AND(OR(#REF!="COMPOSICAO",#REF!="INSUMO",#REF!&lt;&gt;""),#REF!&lt;&gt;"")</formula>
    </cfRule>
  </conditionalFormatting>
  <pageMargins left="0.511811024" right="0.511811024" top="0.78740157499999996" bottom="0.78740157499999996" header="0.31496062000000002" footer="0.31496062000000002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9</vt:i4>
      </vt:variant>
    </vt:vector>
  </HeadingPairs>
  <TitlesOfParts>
    <vt:vector size="20" baseType="lpstr">
      <vt:lpstr>RESUMO CUSTOS _PREÇO</vt:lpstr>
      <vt:lpstr>Planilha IN05_MO residente</vt:lpstr>
      <vt:lpstr>MC</vt:lpstr>
      <vt:lpstr>materiais da preventiva</vt:lpstr>
      <vt:lpstr>RESUMO CUSTOS CORRETIVO</vt:lpstr>
      <vt:lpstr>MO SOB DEMANDA</vt:lpstr>
      <vt:lpstr>Materiais de reposição</vt:lpstr>
      <vt:lpstr>Equipamentos</vt:lpstr>
      <vt:lpstr>Serviços eventuais</vt:lpstr>
      <vt:lpstr>CPU_</vt:lpstr>
      <vt:lpstr>BDI</vt:lpstr>
      <vt:lpstr>BDI!Area_de_impressao</vt:lpstr>
      <vt:lpstr>CPU_!Area_de_impressao</vt:lpstr>
      <vt:lpstr>Equipamentos!Area_de_impressao</vt:lpstr>
      <vt:lpstr>'materiais da preventiva'!Area_de_impressao</vt:lpstr>
      <vt:lpstr>'Materiais de reposição'!Area_de_impressao</vt:lpstr>
      <vt:lpstr>MC!Area_de_impressao</vt:lpstr>
      <vt:lpstr>'MO SOB DEMANDA'!Area_de_impressao</vt:lpstr>
      <vt:lpstr>'RESUMO CUSTOS CORRETIVO'!Area_de_impressao</vt:lpstr>
      <vt:lpstr>'Serviços eventuais'!Area_de_impressao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Gerusa Vaz</dc:creator>
  <cp:keywords/>
  <dc:description/>
  <cp:lastModifiedBy>Gerusa de Paula Vaz</cp:lastModifiedBy>
  <cp:revision/>
  <cp:lastPrinted>2025-09-12T14:34:44Z</cp:lastPrinted>
  <dcterms:created xsi:type="dcterms:W3CDTF">2016-09-30T13:27:52Z</dcterms:created>
  <dcterms:modified xsi:type="dcterms:W3CDTF">2026-06-24T14:04:23Z</dcterms:modified>
  <cp:category/>
  <cp:contentStatus/>
</cp:coreProperties>
</file>