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5.55\fileserver\GIE\5-Manutenção\03 - Manutenção Predial\Termo de referência\Manutenção predial\2023\"/>
    </mc:Choice>
  </mc:AlternateContent>
  <xr:revisionPtr revIDLastSave="0" documentId="13_ncr:1_{D8BDE22F-1248-4112-8034-CC60617D26D6}" xr6:coauthVersionLast="47" xr6:coauthVersionMax="47" xr10:uidLastSave="{00000000-0000-0000-0000-000000000000}"/>
  <bookViews>
    <workbookView xWindow="-28920" yWindow="3330" windowWidth="29040" windowHeight="15840" tabRatio="841" xr2:uid="{00000000-000D-0000-FFFF-FFFF00000000}"/>
  </bookViews>
  <sheets>
    <sheet name="Planilha IN05" sheetId="17" r:id="rId1"/>
    <sheet name="materiais da preventiva" sheetId="2" r:id="rId2"/>
    <sheet name="Materiais de reposição" sheetId="7" r:id="rId3"/>
    <sheet name="Serviços eventuais" sheetId="12" r:id="rId4"/>
    <sheet name="CPU_" sheetId="15" r:id="rId5"/>
    <sheet name="Planilha sintética corretiva" sheetId="10" r:id="rId6"/>
    <sheet name="BDI" sheetId="16" r:id="rId7"/>
    <sheet name="RESUMO PREÇO" sheetId="18" r:id="rId8"/>
  </sheets>
  <calcPr calcId="181029"/>
</workbook>
</file>

<file path=xl/calcChain.xml><?xml version="1.0" encoding="utf-8"?>
<calcChain xmlns="http://schemas.openxmlformats.org/spreadsheetml/2006/main">
  <c r="F133" i="17" l="1"/>
  <c r="F132" i="17"/>
  <c r="H122" i="17"/>
  <c r="H98" i="17"/>
  <c r="H58" i="17"/>
  <c r="H60" i="17"/>
  <c r="M132" i="17"/>
  <c r="F56" i="17"/>
  <c r="F64" i="17"/>
  <c r="F55" i="17"/>
  <c r="H55" i="17"/>
  <c r="G55" i="17"/>
  <c r="G57" i="17"/>
  <c r="C10" i="18"/>
  <c r="A88" i="10"/>
  <c r="B88" i="10"/>
  <c r="C88" i="10"/>
  <c r="D88" i="10"/>
  <c r="E88" i="10"/>
  <c r="F88" i="10"/>
  <c r="G88" i="10"/>
  <c r="A79" i="10"/>
  <c r="B79" i="10"/>
  <c r="C79" i="10"/>
  <c r="D79" i="10"/>
  <c r="E79" i="10"/>
  <c r="F79" i="10"/>
  <c r="G79" i="10"/>
  <c r="A80" i="10"/>
  <c r="B80" i="10"/>
  <c r="C80" i="10"/>
  <c r="D80" i="10"/>
  <c r="E80" i="10"/>
  <c r="F80" i="10"/>
  <c r="G80" i="10"/>
  <c r="A81" i="10"/>
  <c r="B81" i="10"/>
  <c r="C81" i="10"/>
  <c r="D81" i="10"/>
  <c r="E81" i="10"/>
  <c r="F81" i="10"/>
  <c r="G81" i="10"/>
  <c r="A82" i="10"/>
  <c r="B82" i="10"/>
  <c r="C82" i="10"/>
  <c r="D82" i="10"/>
  <c r="E82" i="10"/>
  <c r="F82" i="10"/>
  <c r="G82" i="10"/>
  <c r="A83" i="10"/>
  <c r="B83" i="10"/>
  <c r="C83" i="10"/>
  <c r="D83" i="10"/>
  <c r="E83" i="10"/>
  <c r="F83" i="10"/>
  <c r="G83" i="10"/>
  <c r="A84" i="10"/>
  <c r="B84" i="10"/>
  <c r="C84" i="10"/>
  <c r="D84" i="10"/>
  <c r="E84" i="10"/>
  <c r="F84" i="10"/>
  <c r="G84" i="10"/>
  <c r="A85" i="10"/>
  <c r="B85" i="10"/>
  <c r="C85" i="10"/>
  <c r="D85" i="10"/>
  <c r="E85" i="10"/>
  <c r="F85" i="10"/>
  <c r="G85" i="10"/>
  <c r="A86" i="10"/>
  <c r="B86" i="10"/>
  <c r="C86" i="10"/>
  <c r="D86" i="10"/>
  <c r="E86" i="10"/>
  <c r="F86" i="10"/>
  <c r="G86" i="10"/>
  <c r="A87" i="10"/>
  <c r="B87" i="10"/>
  <c r="C87" i="10"/>
  <c r="D87" i="10"/>
  <c r="E87" i="10"/>
  <c r="F87" i="10"/>
  <c r="G87" i="10"/>
  <c r="A27" i="10"/>
  <c r="B27" i="10"/>
  <c r="C27" i="10"/>
  <c r="D27" i="10"/>
  <c r="E27" i="10"/>
  <c r="F27" i="10"/>
  <c r="G27" i="10"/>
  <c r="A28" i="10"/>
  <c r="B28" i="10"/>
  <c r="C28" i="10"/>
  <c r="D28" i="10"/>
  <c r="E28" i="10"/>
  <c r="F28" i="10"/>
  <c r="G28" i="10"/>
  <c r="A29" i="10"/>
  <c r="B29" i="10"/>
  <c r="C29" i="10"/>
  <c r="D29" i="10"/>
  <c r="E29" i="10"/>
  <c r="F29" i="10"/>
  <c r="G29" i="10"/>
  <c r="A30" i="10"/>
  <c r="B30" i="10"/>
  <c r="C30" i="10"/>
  <c r="D30" i="10"/>
  <c r="E30" i="10"/>
  <c r="F30" i="10"/>
  <c r="G30" i="10"/>
  <c r="A31" i="10"/>
  <c r="B31" i="10"/>
  <c r="C31" i="10"/>
  <c r="D31" i="10"/>
  <c r="E31" i="10"/>
  <c r="F31" i="10"/>
  <c r="G31" i="10"/>
  <c r="A32" i="10"/>
  <c r="B32" i="10"/>
  <c r="C32" i="10"/>
  <c r="D32" i="10"/>
  <c r="E32" i="10"/>
  <c r="F32" i="10"/>
  <c r="G32" i="10"/>
  <c r="A33" i="10"/>
  <c r="B33" i="10"/>
  <c r="C33" i="10"/>
  <c r="D33" i="10"/>
  <c r="E33" i="10"/>
  <c r="F33" i="10"/>
  <c r="G33" i="10"/>
  <c r="A34" i="10"/>
  <c r="B34" i="10"/>
  <c r="C34" i="10"/>
  <c r="D34" i="10"/>
  <c r="E34" i="10"/>
  <c r="F34" i="10"/>
  <c r="G34" i="10"/>
  <c r="A35" i="10"/>
  <c r="B35" i="10"/>
  <c r="C35" i="10"/>
  <c r="D35" i="10"/>
  <c r="E35" i="10"/>
  <c r="F35" i="10"/>
  <c r="G35" i="10"/>
  <c r="A36" i="10"/>
  <c r="B36" i="10"/>
  <c r="C36" i="10"/>
  <c r="D36" i="10"/>
  <c r="E36" i="10"/>
  <c r="F36" i="10"/>
  <c r="G36" i="10"/>
  <c r="A37" i="10"/>
  <c r="B37" i="10"/>
  <c r="C37" i="10"/>
  <c r="D37" i="10"/>
  <c r="E37" i="10"/>
  <c r="F37" i="10"/>
  <c r="G37" i="10"/>
  <c r="A38" i="10"/>
  <c r="B38" i="10"/>
  <c r="C38" i="10"/>
  <c r="D38" i="10"/>
  <c r="E38" i="10"/>
  <c r="F38" i="10"/>
  <c r="G38" i="10"/>
  <c r="A39" i="10"/>
  <c r="B39" i="10"/>
  <c r="C39" i="10"/>
  <c r="D39" i="10"/>
  <c r="E39" i="10"/>
  <c r="F39" i="10"/>
  <c r="G39" i="10"/>
  <c r="A40" i="10"/>
  <c r="B40" i="10"/>
  <c r="C40" i="10"/>
  <c r="D40" i="10"/>
  <c r="E40" i="10"/>
  <c r="F40" i="10"/>
  <c r="G40" i="10"/>
  <c r="A41" i="10"/>
  <c r="B41" i="10"/>
  <c r="C41" i="10"/>
  <c r="D41" i="10"/>
  <c r="E41" i="10"/>
  <c r="F41" i="10"/>
  <c r="G41" i="10"/>
  <c r="A42" i="10"/>
  <c r="B42" i="10"/>
  <c r="C42" i="10"/>
  <c r="D42" i="10"/>
  <c r="E42" i="10"/>
  <c r="F42" i="10"/>
  <c r="G42" i="10"/>
  <c r="A43" i="10"/>
  <c r="B43" i="10"/>
  <c r="C43" i="10"/>
  <c r="D43" i="10"/>
  <c r="E43" i="10"/>
  <c r="F43" i="10"/>
  <c r="G43" i="10"/>
  <c r="A44" i="10"/>
  <c r="B44" i="10"/>
  <c r="C44" i="10"/>
  <c r="D44" i="10"/>
  <c r="E44" i="10"/>
  <c r="F44" i="10"/>
  <c r="G44" i="10"/>
  <c r="A45" i="10"/>
  <c r="B45" i="10"/>
  <c r="C45" i="10"/>
  <c r="D45" i="10"/>
  <c r="E45" i="10"/>
  <c r="F45" i="10"/>
  <c r="G45" i="10"/>
  <c r="A46" i="10"/>
  <c r="B46" i="10"/>
  <c r="C46" i="10"/>
  <c r="D46" i="10"/>
  <c r="E46" i="10"/>
  <c r="F46" i="10"/>
  <c r="G46" i="10"/>
  <c r="A47" i="10"/>
  <c r="B47" i="10"/>
  <c r="C47" i="10"/>
  <c r="D47" i="10"/>
  <c r="E47" i="10"/>
  <c r="F47" i="10"/>
  <c r="G47" i="10"/>
  <c r="A48" i="10"/>
  <c r="B48" i="10"/>
  <c r="C48" i="10"/>
  <c r="D48" i="10"/>
  <c r="E48" i="10"/>
  <c r="F48" i="10"/>
  <c r="G48" i="10"/>
  <c r="A49" i="10"/>
  <c r="B49" i="10"/>
  <c r="C49" i="10"/>
  <c r="D49" i="10"/>
  <c r="E49" i="10"/>
  <c r="F49" i="10"/>
  <c r="G49" i="10"/>
  <c r="A50" i="10"/>
  <c r="B50" i="10"/>
  <c r="C50" i="10"/>
  <c r="D50" i="10"/>
  <c r="E50" i="10"/>
  <c r="F50" i="10"/>
  <c r="G50" i="10"/>
  <c r="A51" i="10"/>
  <c r="B51" i="10"/>
  <c r="C51" i="10"/>
  <c r="D51" i="10"/>
  <c r="E51" i="10"/>
  <c r="F51" i="10"/>
  <c r="G51" i="10"/>
  <c r="A52" i="10"/>
  <c r="B52" i="10"/>
  <c r="C52" i="10"/>
  <c r="D52" i="10"/>
  <c r="E52" i="10"/>
  <c r="F52" i="10"/>
  <c r="G52" i="10"/>
  <c r="A53" i="10"/>
  <c r="B53" i="10"/>
  <c r="C53" i="10"/>
  <c r="D53" i="10"/>
  <c r="E53" i="10"/>
  <c r="F53" i="10"/>
  <c r="G53" i="10"/>
  <c r="A54" i="10"/>
  <c r="B54" i="10"/>
  <c r="C54" i="10"/>
  <c r="D54" i="10"/>
  <c r="E54" i="10"/>
  <c r="F54" i="10"/>
  <c r="G54" i="10"/>
  <c r="A55" i="10"/>
  <c r="B55" i="10"/>
  <c r="C55" i="10"/>
  <c r="D55" i="10"/>
  <c r="E55" i="10"/>
  <c r="F55" i="10"/>
  <c r="G55" i="10"/>
  <c r="A56" i="10"/>
  <c r="B56" i="10"/>
  <c r="C56" i="10"/>
  <c r="D56" i="10"/>
  <c r="E56" i="10"/>
  <c r="F56" i="10"/>
  <c r="G56" i="10"/>
  <c r="A57" i="10"/>
  <c r="B57" i="10"/>
  <c r="C57" i="10"/>
  <c r="D57" i="10"/>
  <c r="E57" i="10"/>
  <c r="F57" i="10"/>
  <c r="G57" i="10"/>
  <c r="A58" i="10"/>
  <c r="B58" i="10"/>
  <c r="C58" i="10"/>
  <c r="D58" i="10"/>
  <c r="E58" i="10"/>
  <c r="F58" i="10"/>
  <c r="G58" i="10"/>
  <c r="A59" i="10"/>
  <c r="B59" i="10"/>
  <c r="C59" i="10"/>
  <c r="D59" i="10"/>
  <c r="E59" i="10"/>
  <c r="F59" i="10"/>
  <c r="G59" i="10"/>
  <c r="A60" i="10"/>
  <c r="B60" i="10"/>
  <c r="C60" i="10"/>
  <c r="D60" i="10"/>
  <c r="E60" i="10"/>
  <c r="F60" i="10"/>
  <c r="G60" i="10"/>
  <c r="A61" i="10"/>
  <c r="B61" i="10"/>
  <c r="C61" i="10"/>
  <c r="D61" i="10"/>
  <c r="E61" i="10"/>
  <c r="F61" i="10"/>
  <c r="G61" i="10"/>
  <c r="A62" i="10"/>
  <c r="B62" i="10"/>
  <c r="C62" i="10"/>
  <c r="D62" i="10"/>
  <c r="E62" i="10"/>
  <c r="F62" i="10"/>
  <c r="G62" i="10"/>
  <c r="A63" i="10"/>
  <c r="B63" i="10"/>
  <c r="C63" i="10"/>
  <c r="D63" i="10"/>
  <c r="E63" i="10"/>
  <c r="F63" i="10"/>
  <c r="G63" i="10"/>
  <c r="A64" i="10"/>
  <c r="B64" i="10"/>
  <c r="C64" i="10"/>
  <c r="D64" i="10"/>
  <c r="E64" i="10"/>
  <c r="F64" i="10"/>
  <c r="G64" i="10"/>
  <c r="A65" i="10"/>
  <c r="B65" i="10"/>
  <c r="C65" i="10"/>
  <c r="D65" i="10"/>
  <c r="E65" i="10"/>
  <c r="F65" i="10"/>
  <c r="G65" i="10"/>
  <c r="A66" i="10"/>
  <c r="B66" i="10"/>
  <c r="C66" i="10"/>
  <c r="D66" i="10"/>
  <c r="E66" i="10"/>
  <c r="F66" i="10"/>
  <c r="G66" i="10"/>
  <c r="A67" i="10"/>
  <c r="B67" i="10"/>
  <c r="C67" i="10"/>
  <c r="D67" i="10"/>
  <c r="E67" i="10"/>
  <c r="F67" i="10"/>
  <c r="G67" i="10"/>
  <c r="A68" i="10"/>
  <c r="B68" i="10"/>
  <c r="C68" i="10"/>
  <c r="D68" i="10"/>
  <c r="E68" i="10"/>
  <c r="F68" i="10"/>
  <c r="G68" i="10"/>
  <c r="A69" i="10"/>
  <c r="B69" i="10"/>
  <c r="C69" i="10"/>
  <c r="D69" i="10"/>
  <c r="E69" i="10"/>
  <c r="F69" i="10"/>
  <c r="G69" i="10"/>
  <c r="A70" i="10"/>
  <c r="B70" i="10"/>
  <c r="C70" i="10"/>
  <c r="D70" i="10"/>
  <c r="E70" i="10"/>
  <c r="F70" i="10"/>
  <c r="G70" i="10"/>
  <c r="A71" i="10"/>
  <c r="B71" i="10"/>
  <c r="C71" i="10"/>
  <c r="D71" i="10"/>
  <c r="E71" i="10"/>
  <c r="F71" i="10"/>
  <c r="G71" i="10"/>
  <c r="A72" i="10"/>
  <c r="B72" i="10"/>
  <c r="C72" i="10"/>
  <c r="D72" i="10"/>
  <c r="E72" i="10"/>
  <c r="F72" i="10"/>
  <c r="G72" i="10"/>
  <c r="A73" i="10"/>
  <c r="B73" i="10"/>
  <c r="C73" i="10"/>
  <c r="D73" i="10"/>
  <c r="E73" i="10"/>
  <c r="F73" i="10"/>
  <c r="G73" i="10"/>
  <c r="A74" i="10"/>
  <c r="B74" i="10"/>
  <c r="C74" i="10"/>
  <c r="D74" i="10"/>
  <c r="E74" i="10"/>
  <c r="F74" i="10"/>
  <c r="G74" i="10"/>
  <c r="A75" i="10"/>
  <c r="B75" i="10"/>
  <c r="C75" i="10"/>
  <c r="D75" i="10"/>
  <c r="E75" i="10"/>
  <c r="F75" i="10"/>
  <c r="G75" i="10"/>
  <c r="A76" i="10"/>
  <c r="B76" i="10"/>
  <c r="C76" i="10"/>
  <c r="D76" i="10"/>
  <c r="E76" i="10"/>
  <c r="F76" i="10"/>
  <c r="G76" i="10"/>
  <c r="A77" i="10"/>
  <c r="B77" i="10"/>
  <c r="C77" i="10"/>
  <c r="D77" i="10"/>
  <c r="E77" i="10"/>
  <c r="F77" i="10"/>
  <c r="G77" i="10"/>
  <c r="A78" i="10"/>
  <c r="B78" i="10"/>
  <c r="C78" i="10"/>
  <c r="D78" i="10"/>
  <c r="E78" i="10"/>
  <c r="F78" i="10"/>
  <c r="G78" i="10"/>
  <c r="A8" i="10"/>
  <c r="B8" i="10"/>
  <c r="C8" i="10"/>
  <c r="D8" i="10"/>
  <c r="E8" i="10"/>
  <c r="F8" i="10"/>
  <c r="G8" i="10"/>
  <c r="A9" i="10"/>
  <c r="B9" i="10"/>
  <c r="C9" i="10"/>
  <c r="D9" i="10"/>
  <c r="E9" i="10"/>
  <c r="F9" i="10"/>
  <c r="G9" i="10"/>
  <c r="A10" i="10"/>
  <c r="B10" i="10"/>
  <c r="C10" i="10"/>
  <c r="D10" i="10"/>
  <c r="E10" i="10"/>
  <c r="F10" i="10"/>
  <c r="G10" i="10"/>
  <c r="A11" i="10"/>
  <c r="B11" i="10"/>
  <c r="C11" i="10"/>
  <c r="D11" i="10"/>
  <c r="E11" i="10"/>
  <c r="F11" i="10"/>
  <c r="G11" i="10"/>
  <c r="A12" i="10"/>
  <c r="B12" i="10"/>
  <c r="C12" i="10"/>
  <c r="D12" i="10"/>
  <c r="E12" i="10"/>
  <c r="F12" i="10"/>
  <c r="G12" i="10"/>
  <c r="A13" i="10"/>
  <c r="B13" i="10"/>
  <c r="C13" i="10"/>
  <c r="D13" i="10"/>
  <c r="E13" i="10"/>
  <c r="F13" i="10"/>
  <c r="G13" i="10"/>
  <c r="A14" i="10"/>
  <c r="B14" i="10"/>
  <c r="C14" i="10"/>
  <c r="D14" i="10"/>
  <c r="E14" i="10"/>
  <c r="F14" i="10"/>
  <c r="G14" i="10"/>
  <c r="A15" i="10"/>
  <c r="B15" i="10"/>
  <c r="C15" i="10"/>
  <c r="D15" i="10"/>
  <c r="E15" i="10"/>
  <c r="F15" i="10"/>
  <c r="G15" i="10"/>
  <c r="A16" i="10"/>
  <c r="B16" i="10"/>
  <c r="C16" i="10"/>
  <c r="D16" i="10"/>
  <c r="E16" i="10"/>
  <c r="F16" i="10"/>
  <c r="G16" i="10"/>
  <c r="A17" i="10"/>
  <c r="B17" i="10"/>
  <c r="C17" i="10"/>
  <c r="D17" i="10"/>
  <c r="E17" i="10"/>
  <c r="F17" i="10"/>
  <c r="G17" i="10"/>
  <c r="A18" i="10"/>
  <c r="B18" i="10"/>
  <c r="C18" i="10"/>
  <c r="D18" i="10"/>
  <c r="E18" i="10"/>
  <c r="F18" i="10"/>
  <c r="G18" i="10"/>
  <c r="A19" i="10"/>
  <c r="B19" i="10"/>
  <c r="C19" i="10"/>
  <c r="D19" i="10"/>
  <c r="E19" i="10"/>
  <c r="F19" i="10"/>
  <c r="G19" i="10"/>
  <c r="A20" i="10"/>
  <c r="B20" i="10"/>
  <c r="C20" i="10"/>
  <c r="D20" i="10"/>
  <c r="E20" i="10"/>
  <c r="F20" i="10"/>
  <c r="G20" i="10"/>
  <c r="A21" i="10"/>
  <c r="B21" i="10"/>
  <c r="C21" i="10"/>
  <c r="D21" i="10"/>
  <c r="E21" i="10"/>
  <c r="F21" i="10"/>
  <c r="G21" i="10"/>
  <c r="A22" i="10"/>
  <c r="B22" i="10"/>
  <c r="C22" i="10"/>
  <c r="D22" i="10"/>
  <c r="E22" i="10"/>
  <c r="F22" i="10"/>
  <c r="G22" i="10"/>
  <c r="A23" i="10"/>
  <c r="B23" i="10"/>
  <c r="C23" i="10"/>
  <c r="D23" i="10"/>
  <c r="E23" i="10"/>
  <c r="F23" i="10"/>
  <c r="G23" i="10"/>
  <c r="A24" i="10"/>
  <c r="B24" i="10"/>
  <c r="C24" i="10"/>
  <c r="D24" i="10"/>
  <c r="E24" i="10"/>
  <c r="F24" i="10"/>
  <c r="G24" i="10"/>
  <c r="A25" i="10"/>
  <c r="B25" i="10"/>
  <c r="C25" i="10"/>
  <c r="D25" i="10"/>
  <c r="E25" i="10"/>
  <c r="F25" i="10"/>
  <c r="G25" i="10"/>
  <c r="A26" i="10"/>
  <c r="B26" i="10"/>
  <c r="C26" i="10"/>
  <c r="D26" i="10"/>
  <c r="E26" i="10"/>
  <c r="F26" i="10"/>
  <c r="G26" i="10"/>
  <c r="G7" i="10"/>
  <c r="F7" i="10"/>
  <c r="E7" i="10"/>
  <c r="D7" i="10"/>
  <c r="C7" i="10"/>
  <c r="B7" i="10"/>
  <c r="A7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G224" i="10"/>
  <c r="G225" i="10"/>
  <c r="G226" i="10"/>
  <c r="G227" i="10"/>
  <c r="G228" i="10"/>
  <c r="G229" i="10"/>
  <c r="G230" i="10"/>
  <c r="G231" i="10"/>
  <c r="G232" i="10"/>
  <c r="G233" i="10"/>
  <c r="G234" i="10"/>
  <c r="G235" i="10"/>
  <c r="G236" i="10"/>
  <c r="G237" i="10"/>
  <c r="G238" i="10"/>
  <c r="G239" i="10"/>
  <c r="G240" i="10"/>
  <c r="G241" i="10"/>
  <c r="F247" i="10"/>
  <c r="F246" i="10"/>
  <c r="G40" i="12"/>
  <c r="G41" i="12"/>
  <c r="G42" i="12"/>
  <c r="G43" i="12"/>
  <c r="G44" i="12"/>
  <c r="G45" i="12"/>
  <c r="F138" i="10" s="1"/>
  <c r="G46" i="12"/>
  <c r="G47" i="12"/>
  <c r="F140" i="10" s="1"/>
  <c r="G48" i="12"/>
  <c r="G49" i="12"/>
  <c r="G50" i="12"/>
  <c r="G51" i="12"/>
  <c r="G52" i="12"/>
  <c r="G53" i="12"/>
  <c r="F146" i="10" s="1"/>
  <c r="G54" i="12"/>
  <c r="G55" i="12"/>
  <c r="F148" i="10" s="1"/>
  <c r="G56" i="12"/>
  <c r="G57" i="12"/>
  <c r="G58" i="12"/>
  <c r="G59" i="12"/>
  <c r="G60" i="12"/>
  <c r="G61" i="12"/>
  <c r="F154" i="10" s="1"/>
  <c r="G62" i="12"/>
  <c r="G63" i="12"/>
  <c r="F156" i="10" s="1"/>
  <c r="G64" i="12"/>
  <c r="G65" i="12"/>
  <c r="G66" i="12"/>
  <c r="G67" i="12"/>
  <c r="G68" i="12"/>
  <c r="G69" i="12"/>
  <c r="F162" i="10" s="1"/>
  <c r="G70" i="12"/>
  <c r="G71" i="12"/>
  <c r="F164" i="10" s="1"/>
  <c r="G72" i="12"/>
  <c r="G73" i="12"/>
  <c r="G74" i="12"/>
  <c r="G75" i="12"/>
  <c r="G76" i="12"/>
  <c r="G77" i="12"/>
  <c r="F170" i="10" s="1"/>
  <c r="G78" i="12"/>
  <c r="G79" i="12"/>
  <c r="F172" i="10" s="1"/>
  <c r="G80" i="12"/>
  <c r="G81" i="12"/>
  <c r="G82" i="12"/>
  <c r="G83" i="12"/>
  <c r="G84" i="12"/>
  <c r="G85" i="12"/>
  <c r="F178" i="10" s="1"/>
  <c r="G86" i="12"/>
  <c r="G87" i="12"/>
  <c r="F180" i="10" s="1"/>
  <c r="G88" i="12"/>
  <c r="G89" i="12"/>
  <c r="G90" i="12"/>
  <c r="G91" i="12"/>
  <c r="G92" i="12"/>
  <c r="G93" i="12"/>
  <c r="G94" i="12"/>
  <c r="G95" i="12"/>
  <c r="F188" i="10" s="1"/>
  <c r="G96" i="12"/>
  <c r="F189" i="10" s="1"/>
  <c r="G97" i="12"/>
  <c r="G98" i="12"/>
  <c r="G99" i="12"/>
  <c r="G100" i="12"/>
  <c r="G101" i="12"/>
  <c r="G102" i="12"/>
  <c r="G103" i="12"/>
  <c r="F196" i="10" s="1"/>
  <c r="G104" i="12"/>
  <c r="F197" i="10" s="1"/>
  <c r="G105" i="12"/>
  <c r="G106" i="12"/>
  <c r="G107" i="12"/>
  <c r="G108" i="12"/>
  <c r="G109" i="12"/>
  <c r="G110" i="12"/>
  <c r="G111" i="12"/>
  <c r="F204" i="10" s="1"/>
  <c r="G112" i="12"/>
  <c r="F205" i="10" s="1"/>
  <c r="G113" i="12"/>
  <c r="G114" i="12"/>
  <c r="G115" i="12"/>
  <c r="G116" i="12"/>
  <c r="G117" i="12"/>
  <c r="F210" i="10" s="1"/>
  <c r="G118" i="12"/>
  <c r="G119" i="12"/>
  <c r="G120" i="12"/>
  <c r="F213" i="10" s="1"/>
  <c r="G121" i="12"/>
  <c r="G122" i="12"/>
  <c r="G123" i="12"/>
  <c r="G124" i="12"/>
  <c r="G125" i="12"/>
  <c r="F218" i="10" s="1"/>
  <c r="G126" i="12"/>
  <c r="G127" i="12"/>
  <c r="G128" i="12"/>
  <c r="F221" i="10" s="1"/>
  <c r="G129" i="12"/>
  <c r="G130" i="12"/>
  <c r="G131" i="12"/>
  <c r="G132" i="12"/>
  <c r="G133" i="12"/>
  <c r="F226" i="10" s="1"/>
  <c r="G134" i="12"/>
  <c r="G135" i="12"/>
  <c r="G136" i="12"/>
  <c r="F229" i="10" s="1"/>
  <c r="G137" i="12"/>
  <c r="G138" i="12"/>
  <c r="G139" i="12"/>
  <c r="G140" i="12"/>
  <c r="G141" i="12"/>
  <c r="F234" i="10" s="1"/>
  <c r="G142" i="12"/>
  <c r="G143" i="12"/>
  <c r="G144" i="12"/>
  <c r="F237" i="10" s="1"/>
  <c r="G145" i="12"/>
  <c r="G146" i="12"/>
  <c r="G147" i="12"/>
  <c r="G148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F130" i="10" s="1"/>
  <c r="G38" i="12"/>
  <c r="G39" i="12"/>
  <c r="F132" i="10" s="1"/>
  <c r="G5" i="12"/>
  <c r="F98" i="10" s="1"/>
  <c r="G6" i="12"/>
  <c r="F99" i="10" s="1"/>
  <c r="G7" i="12"/>
  <c r="G8" i="12"/>
  <c r="G9" i="12"/>
  <c r="G10" i="12"/>
  <c r="G11" i="12"/>
  <c r="G12" i="12"/>
  <c r="G13" i="12"/>
  <c r="F106" i="10" s="1"/>
  <c r="G14" i="12"/>
  <c r="F107" i="10" s="1"/>
  <c r="G15" i="12"/>
  <c r="G16" i="12"/>
  <c r="G17" i="12"/>
  <c r="G18" i="12"/>
  <c r="G19" i="12"/>
  <c r="G20" i="12"/>
  <c r="G21" i="12"/>
  <c r="F114" i="10" s="1"/>
  <c r="G22" i="12"/>
  <c r="G23" i="12"/>
  <c r="G24" i="12"/>
  <c r="G25" i="12"/>
  <c r="F118" i="10" s="1"/>
  <c r="G4" i="12"/>
  <c r="F97" i="10" s="1"/>
  <c r="A240" i="10"/>
  <c r="B240" i="10"/>
  <c r="C240" i="10"/>
  <c r="D240" i="10"/>
  <c r="E240" i="10"/>
  <c r="F240" i="10"/>
  <c r="A241" i="10"/>
  <c r="B241" i="10"/>
  <c r="C241" i="10"/>
  <c r="D241" i="10"/>
  <c r="E241" i="10"/>
  <c r="F241" i="10"/>
  <c r="A231" i="10"/>
  <c r="B231" i="10"/>
  <c r="C231" i="10"/>
  <c r="D231" i="10"/>
  <c r="E231" i="10"/>
  <c r="F231" i="10"/>
  <c r="A232" i="10"/>
  <c r="B232" i="10"/>
  <c r="C232" i="10"/>
  <c r="D232" i="10"/>
  <c r="E232" i="10"/>
  <c r="F232" i="10"/>
  <c r="A233" i="10"/>
  <c r="B233" i="10"/>
  <c r="C233" i="10"/>
  <c r="D233" i="10"/>
  <c r="E233" i="10"/>
  <c r="F233" i="10"/>
  <c r="A234" i="10"/>
  <c r="B234" i="10"/>
  <c r="C234" i="10"/>
  <c r="D234" i="10"/>
  <c r="E234" i="10"/>
  <c r="A235" i="10"/>
  <c r="B235" i="10"/>
  <c r="C235" i="10"/>
  <c r="D235" i="10"/>
  <c r="E235" i="10"/>
  <c r="F235" i="10"/>
  <c r="A236" i="10"/>
  <c r="B236" i="10"/>
  <c r="C236" i="10"/>
  <c r="D236" i="10"/>
  <c r="E236" i="10"/>
  <c r="F236" i="10"/>
  <c r="A237" i="10"/>
  <c r="B237" i="10"/>
  <c r="C237" i="10"/>
  <c r="D237" i="10"/>
  <c r="E237" i="10"/>
  <c r="A238" i="10"/>
  <c r="B238" i="10"/>
  <c r="C238" i="10"/>
  <c r="D238" i="10"/>
  <c r="E238" i="10"/>
  <c r="F238" i="10"/>
  <c r="A239" i="10"/>
  <c r="B239" i="10"/>
  <c r="C239" i="10"/>
  <c r="D239" i="10"/>
  <c r="E239" i="10"/>
  <c r="F239" i="10"/>
  <c r="A208" i="10"/>
  <c r="B208" i="10"/>
  <c r="C208" i="10"/>
  <c r="D208" i="10"/>
  <c r="E208" i="10"/>
  <c r="F208" i="10"/>
  <c r="A209" i="10"/>
  <c r="B209" i="10"/>
  <c r="C209" i="10"/>
  <c r="D209" i="10"/>
  <c r="E209" i="10"/>
  <c r="F209" i="10"/>
  <c r="A210" i="10"/>
  <c r="B210" i="10"/>
  <c r="C210" i="10"/>
  <c r="D210" i="10"/>
  <c r="E210" i="10"/>
  <c r="A211" i="10"/>
  <c r="B211" i="10"/>
  <c r="C211" i="10"/>
  <c r="D211" i="10"/>
  <c r="E211" i="10"/>
  <c r="F211" i="10"/>
  <c r="A212" i="10"/>
  <c r="B212" i="10"/>
  <c r="C212" i="10"/>
  <c r="D212" i="10"/>
  <c r="E212" i="10"/>
  <c r="F212" i="10"/>
  <c r="A213" i="10"/>
  <c r="B213" i="10"/>
  <c r="C213" i="10"/>
  <c r="D213" i="10"/>
  <c r="E213" i="10"/>
  <c r="A214" i="10"/>
  <c r="B214" i="10"/>
  <c r="C214" i="10"/>
  <c r="D214" i="10"/>
  <c r="E214" i="10"/>
  <c r="F214" i="10"/>
  <c r="A215" i="10"/>
  <c r="B215" i="10"/>
  <c r="C215" i="10"/>
  <c r="D215" i="10"/>
  <c r="E215" i="10"/>
  <c r="F215" i="10"/>
  <c r="A216" i="10"/>
  <c r="B216" i="10"/>
  <c r="C216" i="10"/>
  <c r="D216" i="10"/>
  <c r="E216" i="10"/>
  <c r="F216" i="10"/>
  <c r="A217" i="10"/>
  <c r="B217" i="10"/>
  <c r="C217" i="10"/>
  <c r="D217" i="10"/>
  <c r="E217" i="10"/>
  <c r="F217" i="10"/>
  <c r="A218" i="10"/>
  <c r="B218" i="10"/>
  <c r="C218" i="10"/>
  <c r="D218" i="10"/>
  <c r="E218" i="10"/>
  <c r="A219" i="10"/>
  <c r="B219" i="10"/>
  <c r="C219" i="10"/>
  <c r="D219" i="10"/>
  <c r="E219" i="10"/>
  <c r="F219" i="10"/>
  <c r="A220" i="10"/>
  <c r="B220" i="10"/>
  <c r="C220" i="10"/>
  <c r="D220" i="10"/>
  <c r="E220" i="10"/>
  <c r="F220" i="10"/>
  <c r="A221" i="10"/>
  <c r="B221" i="10"/>
  <c r="C221" i="10"/>
  <c r="D221" i="10"/>
  <c r="E221" i="10"/>
  <c r="A222" i="10"/>
  <c r="B222" i="10"/>
  <c r="C222" i="10"/>
  <c r="D222" i="10"/>
  <c r="E222" i="10"/>
  <c r="F222" i="10"/>
  <c r="A223" i="10"/>
  <c r="B223" i="10"/>
  <c r="C223" i="10"/>
  <c r="D223" i="10"/>
  <c r="E223" i="10"/>
  <c r="F223" i="10"/>
  <c r="A224" i="10"/>
  <c r="B224" i="10"/>
  <c r="C224" i="10"/>
  <c r="D224" i="10"/>
  <c r="E224" i="10"/>
  <c r="F224" i="10"/>
  <c r="A225" i="10"/>
  <c r="B225" i="10"/>
  <c r="C225" i="10"/>
  <c r="D225" i="10"/>
  <c r="E225" i="10"/>
  <c r="F225" i="10"/>
  <c r="A226" i="10"/>
  <c r="B226" i="10"/>
  <c r="C226" i="10"/>
  <c r="D226" i="10"/>
  <c r="E226" i="10"/>
  <c r="A227" i="10"/>
  <c r="B227" i="10"/>
  <c r="C227" i="10"/>
  <c r="D227" i="10"/>
  <c r="E227" i="10"/>
  <c r="F227" i="10"/>
  <c r="A228" i="10"/>
  <c r="B228" i="10"/>
  <c r="C228" i="10"/>
  <c r="D228" i="10"/>
  <c r="E228" i="10"/>
  <c r="F228" i="10"/>
  <c r="A229" i="10"/>
  <c r="B229" i="10"/>
  <c r="C229" i="10"/>
  <c r="D229" i="10"/>
  <c r="E229" i="10"/>
  <c r="A230" i="10"/>
  <c r="B230" i="10"/>
  <c r="C230" i="10"/>
  <c r="D230" i="10"/>
  <c r="E230" i="10"/>
  <c r="F230" i="10"/>
  <c r="A181" i="10"/>
  <c r="B181" i="10"/>
  <c r="C181" i="10"/>
  <c r="D181" i="10"/>
  <c r="E181" i="10"/>
  <c r="F181" i="10"/>
  <c r="A182" i="10"/>
  <c r="B182" i="10"/>
  <c r="C182" i="10"/>
  <c r="D182" i="10"/>
  <c r="E182" i="10"/>
  <c r="F182" i="10"/>
  <c r="A183" i="10"/>
  <c r="B183" i="10"/>
  <c r="C183" i="10"/>
  <c r="D183" i="10"/>
  <c r="E183" i="10"/>
  <c r="F183" i="10"/>
  <c r="A184" i="10"/>
  <c r="B184" i="10"/>
  <c r="C184" i="10"/>
  <c r="D184" i="10"/>
  <c r="E184" i="10"/>
  <c r="F184" i="10"/>
  <c r="A185" i="10"/>
  <c r="B185" i="10"/>
  <c r="C185" i="10"/>
  <c r="D185" i="10"/>
  <c r="E185" i="10"/>
  <c r="F185" i="10"/>
  <c r="A186" i="10"/>
  <c r="B186" i="10"/>
  <c r="C186" i="10"/>
  <c r="D186" i="10"/>
  <c r="E186" i="10"/>
  <c r="F186" i="10"/>
  <c r="A187" i="10"/>
  <c r="B187" i="10"/>
  <c r="C187" i="10"/>
  <c r="D187" i="10"/>
  <c r="E187" i="10"/>
  <c r="F187" i="10"/>
  <c r="A188" i="10"/>
  <c r="B188" i="10"/>
  <c r="C188" i="10"/>
  <c r="D188" i="10"/>
  <c r="E188" i="10"/>
  <c r="A189" i="10"/>
  <c r="B189" i="10"/>
  <c r="C189" i="10"/>
  <c r="D189" i="10"/>
  <c r="E189" i="10"/>
  <c r="A190" i="10"/>
  <c r="B190" i="10"/>
  <c r="C190" i="10"/>
  <c r="D190" i="10"/>
  <c r="E190" i="10"/>
  <c r="F190" i="10"/>
  <c r="A191" i="10"/>
  <c r="B191" i="10"/>
  <c r="C191" i="10"/>
  <c r="D191" i="10"/>
  <c r="E191" i="10"/>
  <c r="F191" i="10"/>
  <c r="A192" i="10"/>
  <c r="B192" i="10"/>
  <c r="C192" i="10"/>
  <c r="D192" i="10"/>
  <c r="E192" i="10"/>
  <c r="F192" i="10"/>
  <c r="A193" i="10"/>
  <c r="B193" i="10"/>
  <c r="C193" i="10"/>
  <c r="D193" i="10"/>
  <c r="E193" i="10"/>
  <c r="F193" i="10"/>
  <c r="A194" i="10"/>
  <c r="B194" i="10"/>
  <c r="C194" i="10"/>
  <c r="D194" i="10"/>
  <c r="E194" i="10"/>
  <c r="F194" i="10"/>
  <c r="A195" i="10"/>
  <c r="B195" i="10"/>
  <c r="C195" i="10"/>
  <c r="D195" i="10"/>
  <c r="E195" i="10"/>
  <c r="F195" i="10"/>
  <c r="A196" i="10"/>
  <c r="B196" i="10"/>
  <c r="C196" i="10"/>
  <c r="D196" i="10"/>
  <c r="E196" i="10"/>
  <c r="A197" i="10"/>
  <c r="B197" i="10"/>
  <c r="C197" i="10"/>
  <c r="D197" i="10"/>
  <c r="E197" i="10"/>
  <c r="A198" i="10"/>
  <c r="B198" i="10"/>
  <c r="C198" i="10"/>
  <c r="D198" i="10"/>
  <c r="E198" i="10"/>
  <c r="F198" i="10"/>
  <c r="A199" i="10"/>
  <c r="B199" i="10"/>
  <c r="C199" i="10"/>
  <c r="D199" i="10"/>
  <c r="E199" i="10"/>
  <c r="F199" i="10"/>
  <c r="A200" i="10"/>
  <c r="B200" i="10"/>
  <c r="C200" i="10"/>
  <c r="D200" i="10"/>
  <c r="E200" i="10"/>
  <c r="F200" i="10"/>
  <c r="A201" i="10"/>
  <c r="B201" i="10"/>
  <c r="C201" i="10"/>
  <c r="D201" i="10"/>
  <c r="E201" i="10"/>
  <c r="F201" i="10"/>
  <c r="A202" i="10"/>
  <c r="B202" i="10"/>
  <c r="C202" i="10"/>
  <c r="D202" i="10"/>
  <c r="E202" i="10"/>
  <c r="F202" i="10"/>
  <c r="A203" i="10"/>
  <c r="B203" i="10"/>
  <c r="C203" i="10"/>
  <c r="D203" i="10"/>
  <c r="E203" i="10"/>
  <c r="F203" i="10"/>
  <c r="A204" i="10"/>
  <c r="B204" i="10"/>
  <c r="C204" i="10"/>
  <c r="D204" i="10"/>
  <c r="E204" i="10"/>
  <c r="A205" i="10"/>
  <c r="B205" i="10"/>
  <c r="C205" i="10"/>
  <c r="D205" i="10"/>
  <c r="E205" i="10"/>
  <c r="A206" i="10"/>
  <c r="B206" i="10"/>
  <c r="C206" i="10"/>
  <c r="D206" i="10"/>
  <c r="E206" i="10"/>
  <c r="F206" i="10"/>
  <c r="A207" i="10"/>
  <c r="B207" i="10"/>
  <c r="C207" i="10"/>
  <c r="D207" i="10"/>
  <c r="E207" i="10"/>
  <c r="F20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A114" i="10"/>
  <c r="B114" i="10"/>
  <c r="C114" i="10"/>
  <c r="D114" i="10"/>
  <c r="E114" i="10"/>
  <c r="A115" i="10"/>
  <c r="B115" i="10"/>
  <c r="C115" i="10"/>
  <c r="D115" i="10"/>
  <c r="E115" i="10"/>
  <c r="F115" i="10"/>
  <c r="A116" i="10"/>
  <c r="B116" i="10"/>
  <c r="C116" i="10"/>
  <c r="D116" i="10"/>
  <c r="E116" i="10"/>
  <c r="F116" i="10"/>
  <c r="A117" i="10"/>
  <c r="B117" i="10"/>
  <c r="C117" i="10"/>
  <c r="D117" i="10"/>
  <c r="E117" i="10"/>
  <c r="F117" i="10"/>
  <c r="A118" i="10"/>
  <c r="B118" i="10"/>
  <c r="C118" i="10"/>
  <c r="D118" i="10"/>
  <c r="E118" i="10"/>
  <c r="A119" i="10"/>
  <c r="B119" i="10"/>
  <c r="C119" i="10"/>
  <c r="D119" i="10"/>
  <c r="E119" i="10"/>
  <c r="F119" i="10"/>
  <c r="A120" i="10"/>
  <c r="B120" i="10"/>
  <c r="C120" i="10"/>
  <c r="D120" i="10"/>
  <c r="E120" i="10"/>
  <c r="F120" i="10"/>
  <c r="A121" i="10"/>
  <c r="B121" i="10"/>
  <c r="C121" i="10"/>
  <c r="D121" i="10"/>
  <c r="E121" i="10"/>
  <c r="F121" i="10"/>
  <c r="A122" i="10"/>
  <c r="B122" i="10"/>
  <c r="C122" i="10"/>
  <c r="D122" i="10"/>
  <c r="E122" i="10"/>
  <c r="F122" i="10"/>
  <c r="A123" i="10"/>
  <c r="B123" i="10"/>
  <c r="C123" i="10"/>
  <c r="D123" i="10"/>
  <c r="E123" i="10"/>
  <c r="F123" i="10"/>
  <c r="A124" i="10"/>
  <c r="B124" i="10"/>
  <c r="C124" i="10"/>
  <c r="D124" i="10"/>
  <c r="E124" i="10"/>
  <c r="F124" i="10"/>
  <c r="A125" i="10"/>
  <c r="B125" i="10"/>
  <c r="C125" i="10"/>
  <c r="D125" i="10"/>
  <c r="E125" i="10"/>
  <c r="F125" i="10"/>
  <c r="A126" i="10"/>
  <c r="B126" i="10"/>
  <c r="C126" i="10"/>
  <c r="D126" i="10"/>
  <c r="E126" i="10"/>
  <c r="F126" i="10"/>
  <c r="A127" i="10"/>
  <c r="B127" i="10"/>
  <c r="C127" i="10"/>
  <c r="D127" i="10"/>
  <c r="E127" i="10"/>
  <c r="F127" i="10"/>
  <c r="A128" i="10"/>
  <c r="B128" i="10"/>
  <c r="C128" i="10"/>
  <c r="D128" i="10"/>
  <c r="E128" i="10"/>
  <c r="F128" i="10"/>
  <c r="A129" i="10"/>
  <c r="B129" i="10"/>
  <c r="C129" i="10"/>
  <c r="D129" i="10"/>
  <c r="E129" i="10"/>
  <c r="F129" i="10"/>
  <c r="A130" i="10"/>
  <c r="B130" i="10"/>
  <c r="C130" i="10"/>
  <c r="D130" i="10"/>
  <c r="E130" i="10"/>
  <c r="A131" i="10"/>
  <c r="B131" i="10"/>
  <c r="C131" i="10"/>
  <c r="D131" i="10"/>
  <c r="E131" i="10"/>
  <c r="F131" i="10"/>
  <c r="A132" i="10"/>
  <c r="B132" i="10"/>
  <c r="C132" i="10"/>
  <c r="D132" i="10"/>
  <c r="E132" i="10"/>
  <c r="A133" i="10"/>
  <c r="B133" i="10"/>
  <c r="C133" i="10"/>
  <c r="D133" i="10"/>
  <c r="E133" i="10"/>
  <c r="F133" i="10"/>
  <c r="A134" i="10"/>
  <c r="B134" i="10"/>
  <c r="C134" i="10"/>
  <c r="D134" i="10"/>
  <c r="E134" i="10"/>
  <c r="F134" i="10"/>
  <c r="A135" i="10"/>
  <c r="B135" i="10"/>
  <c r="C135" i="10"/>
  <c r="D135" i="10"/>
  <c r="E135" i="10"/>
  <c r="F135" i="10"/>
  <c r="A136" i="10"/>
  <c r="B136" i="10"/>
  <c r="C136" i="10"/>
  <c r="D136" i="10"/>
  <c r="E136" i="10"/>
  <c r="F136" i="10"/>
  <c r="A137" i="10"/>
  <c r="B137" i="10"/>
  <c r="C137" i="10"/>
  <c r="D137" i="10"/>
  <c r="E137" i="10"/>
  <c r="F137" i="10"/>
  <c r="A138" i="10"/>
  <c r="B138" i="10"/>
  <c r="C138" i="10"/>
  <c r="D138" i="10"/>
  <c r="E138" i="10"/>
  <c r="A139" i="10"/>
  <c r="B139" i="10"/>
  <c r="C139" i="10"/>
  <c r="D139" i="10"/>
  <c r="E139" i="10"/>
  <c r="F139" i="10"/>
  <c r="A140" i="10"/>
  <c r="B140" i="10"/>
  <c r="C140" i="10"/>
  <c r="D140" i="10"/>
  <c r="E140" i="10"/>
  <c r="A141" i="10"/>
  <c r="B141" i="10"/>
  <c r="C141" i="10"/>
  <c r="D141" i="10"/>
  <c r="E141" i="10"/>
  <c r="F141" i="10"/>
  <c r="A142" i="10"/>
  <c r="B142" i="10"/>
  <c r="C142" i="10"/>
  <c r="D142" i="10"/>
  <c r="E142" i="10"/>
  <c r="F142" i="10"/>
  <c r="A143" i="10"/>
  <c r="B143" i="10"/>
  <c r="C143" i="10"/>
  <c r="D143" i="10"/>
  <c r="E143" i="10"/>
  <c r="F143" i="10"/>
  <c r="A144" i="10"/>
  <c r="B144" i="10"/>
  <c r="C144" i="10"/>
  <c r="D144" i="10"/>
  <c r="E144" i="10"/>
  <c r="F144" i="10"/>
  <c r="A145" i="10"/>
  <c r="B145" i="10"/>
  <c r="C145" i="10"/>
  <c r="D145" i="10"/>
  <c r="E145" i="10"/>
  <c r="F145" i="10"/>
  <c r="A146" i="10"/>
  <c r="B146" i="10"/>
  <c r="C146" i="10"/>
  <c r="D146" i="10"/>
  <c r="E146" i="10"/>
  <c r="A147" i="10"/>
  <c r="B147" i="10"/>
  <c r="C147" i="10"/>
  <c r="D147" i="10"/>
  <c r="E147" i="10"/>
  <c r="F147" i="10"/>
  <c r="A148" i="10"/>
  <c r="B148" i="10"/>
  <c r="C148" i="10"/>
  <c r="D148" i="10"/>
  <c r="E148" i="10"/>
  <c r="A149" i="10"/>
  <c r="B149" i="10"/>
  <c r="C149" i="10"/>
  <c r="D149" i="10"/>
  <c r="E149" i="10"/>
  <c r="F149" i="10"/>
  <c r="A150" i="10"/>
  <c r="B150" i="10"/>
  <c r="C150" i="10"/>
  <c r="D150" i="10"/>
  <c r="E150" i="10"/>
  <c r="F150" i="10"/>
  <c r="A151" i="10"/>
  <c r="B151" i="10"/>
  <c r="C151" i="10"/>
  <c r="D151" i="10"/>
  <c r="E151" i="10"/>
  <c r="F151" i="10"/>
  <c r="A152" i="10"/>
  <c r="B152" i="10"/>
  <c r="C152" i="10"/>
  <c r="D152" i="10"/>
  <c r="E152" i="10"/>
  <c r="F152" i="10"/>
  <c r="A153" i="10"/>
  <c r="B153" i="10"/>
  <c r="C153" i="10"/>
  <c r="D153" i="10"/>
  <c r="E153" i="10"/>
  <c r="F153" i="10"/>
  <c r="A154" i="10"/>
  <c r="B154" i="10"/>
  <c r="C154" i="10"/>
  <c r="D154" i="10"/>
  <c r="E154" i="10"/>
  <c r="A155" i="10"/>
  <c r="B155" i="10"/>
  <c r="C155" i="10"/>
  <c r="D155" i="10"/>
  <c r="E155" i="10"/>
  <c r="F155" i="10"/>
  <c r="A156" i="10"/>
  <c r="B156" i="10"/>
  <c r="C156" i="10"/>
  <c r="D156" i="10"/>
  <c r="E156" i="10"/>
  <c r="A157" i="10"/>
  <c r="B157" i="10"/>
  <c r="C157" i="10"/>
  <c r="D157" i="10"/>
  <c r="E157" i="10"/>
  <c r="F157" i="10"/>
  <c r="A158" i="10"/>
  <c r="B158" i="10"/>
  <c r="C158" i="10"/>
  <c r="D158" i="10"/>
  <c r="E158" i="10"/>
  <c r="F158" i="10"/>
  <c r="A159" i="10"/>
  <c r="B159" i="10"/>
  <c r="C159" i="10"/>
  <c r="D159" i="10"/>
  <c r="E159" i="10"/>
  <c r="F159" i="10"/>
  <c r="A160" i="10"/>
  <c r="B160" i="10"/>
  <c r="C160" i="10"/>
  <c r="D160" i="10"/>
  <c r="E160" i="10"/>
  <c r="F160" i="10"/>
  <c r="A161" i="10"/>
  <c r="B161" i="10"/>
  <c r="C161" i="10"/>
  <c r="D161" i="10"/>
  <c r="E161" i="10"/>
  <c r="F161" i="10"/>
  <c r="A162" i="10"/>
  <c r="B162" i="10"/>
  <c r="C162" i="10"/>
  <c r="D162" i="10"/>
  <c r="E162" i="10"/>
  <c r="A163" i="10"/>
  <c r="B163" i="10"/>
  <c r="C163" i="10"/>
  <c r="D163" i="10"/>
  <c r="E163" i="10"/>
  <c r="F163" i="10"/>
  <c r="A164" i="10"/>
  <c r="B164" i="10"/>
  <c r="C164" i="10"/>
  <c r="D164" i="10"/>
  <c r="E164" i="10"/>
  <c r="A165" i="10"/>
  <c r="B165" i="10"/>
  <c r="C165" i="10"/>
  <c r="D165" i="10"/>
  <c r="E165" i="10"/>
  <c r="F165" i="10"/>
  <c r="A166" i="10"/>
  <c r="B166" i="10"/>
  <c r="C166" i="10"/>
  <c r="D166" i="10"/>
  <c r="E166" i="10"/>
  <c r="F166" i="10"/>
  <c r="A167" i="10"/>
  <c r="B167" i="10"/>
  <c r="C167" i="10"/>
  <c r="D167" i="10"/>
  <c r="E167" i="10"/>
  <c r="F167" i="10"/>
  <c r="A168" i="10"/>
  <c r="B168" i="10"/>
  <c r="C168" i="10"/>
  <c r="D168" i="10"/>
  <c r="E168" i="10"/>
  <c r="F168" i="10"/>
  <c r="A169" i="10"/>
  <c r="B169" i="10"/>
  <c r="C169" i="10"/>
  <c r="D169" i="10"/>
  <c r="E169" i="10"/>
  <c r="F169" i="10"/>
  <c r="A170" i="10"/>
  <c r="B170" i="10"/>
  <c r="C170" i="10"/>
  <c r="D170" i="10"/>
  <c r="E170" i="10"/>
  <c r="A171" i="10"/>
  <c r="B171" i="10"/>
  <c r="C171" i="10"/>
  <c r="D171" i="10"/>
  <c r="E171" i="10"/>
  <c r="F171" i="10"/>
  <c r="A172" i="10"/>
  <c r="B172" i="10"/>
  <c r="C172" i="10"/>
  <c r="D172" i="10"/>
  <c r="E172" i="10"/>
  <c r="A173" i="10"/>
  <c r="B173" i="10"/>
  <c r="C173" i="10"/>
  <c r="D173" i="10"/>
  <c r="E173" i="10"/>
  <c r="F173" i="10"/>
  <c r="A174" i="10"/>
  <c r="B174" i="10"/>
  <c r="C174" i="10"/>
  <c r="D174" i="10"/>
  <c r="E174" i="10"/>
  <c r="F174" i="10"/>
  <c r="A175" i="10"/>
  <c r="B175" i="10"/>
  <c r="C175" i="10"/>
  <c r="D175" i="10"/>
  <c r="E175" i="10"/>
  <c r="F175" i="10"/>
  <c r="A176" i="10"/>
  <c r="B176" i="10"/>
  <c r="C176" i="10"/>
  <c r="D176" i="10"/>
  <c r="E176" i="10"/>
  <c r="F176" i="10"/>
  <c r="A177" i="10"/>
  <c r="B177" i="10"/>
  <c r="C177" i="10"/>
  <c r="D177" i="10"/>
  <c r="E177" i="10"/>
  <c r="F177" i="10"/>
  <c r="A178" i="10"/>
  <c r="B178" i="10"/>
  <c r="C178" i="10"/>
  <c r="D178" i="10"/>
  <c r="E178" i="10"/>
  <c r="A179" i="10"/>
  <c r="B179" i="10"/>
  <c r="C179" i="10"/>
  <c r="D179" i="10"/>
  <c r="E179" i="10"/>
  <c r="F179" i="10"/>
  <c r="A180" i="10"/>
  <c r="B180" i="10"/>
  <c r="C180" i="10"/>
  <c r="D180" i="10"/>
  <c r="E180" i="10"/>
  <c r="A98" i="10"/>
  <c r="B98" i="10"/>
  <c r="C98" i="10"/>
  <c r="D98" i="10"/>
  <c r="E98" i="10"/>
  <c r="A99" i="10"/>
  <c r="B99" i="10"/>
  <c r="C99" i="10"/>
  <c r="D99" i="10"/>
  <c r="E99" i="10"/>
  <c r="A100" i="10"/>
  <c r="B100" i="10"/>
  <c r="C100" i="10"/>
  <c r="D100" i="10"/>
  <c r="E100" i="10"/>
  <c r="F100" i="10"/>
  <c r="A101" i="10"/>
  <c r="B101" i="10"/>
  <c r="C101" i="10"/>
  <c r="D101" i="10"/>
  <c r="E101" i="10"/>
  <c r="F101" i="10"/>
  <c r="A102" i="10"/>
  <c r="B102" i="10"/>
  <c r="C102" i="10"/>
  <c r="D102" i="10"/>
  <c r="E102" i="10"/>
  <c r="F102" i="10"/>
  <c r="A103" i="10"/>
  <c r="B103" i="10"/>
  <c r="C103" i="10"/>
  <c r="D103" i="10"/>
  <c r="E103" i="10"/>
  <c r="F103" i="10"/>
  <c r="A104" i="10"/>
  <c r="B104" i="10"/>
  <c r="C104" i="10"/>
  <c r="D104" i="10"/>
  <c r="E104" i="10"/>
  <c r="F104" i="10"/>
  <c r="A105" i="10"/>
  <c r="B105" i="10"/>
  <c r="C105" i="10"/>
  <c r="D105" i="10"/>
  <c r="E105" i="10"/>
  <c r="F105" i="10"/>
  <c r="A106" i="10"/>
  <c r="B106" i="10"/>
  <c r="C106" i="10"/>
  <c r="D106" i="10"/>
  <c r="E106" i="10"/>
  <c r="A107" i="10"/>
  <c r="B107" i="10"/>
  <c r="C107" i="10"/>
  <c r="D107" i="10"/>
  <c r="E107" i="10"/>
  <c r="A108" i="10"/>
  <c r="B108" i="10"/>
  <c r="C108" i="10"/>
  <c r="D108" i="10"/>
  <c r="E108" i="10"/>
  <c r="F108" i="10"/>
  <c r="A109" i="10"/>
  <c r="B109" i="10"/>
  <c r="C109" i="10"/>
  <c r="D109" i="10"/>
  <c r="E109" i="10"/>
  <c r="F109" i="10"/>
  <c r="A110" i="10"/>
  <c r="B110" i="10"/>
  <c r="C110" i="10"/>
  <c r="D110" i="10"/>
  <c r="E110" i="10"/>
  <c r="F110" i="10"/>
  <c r="A111" i="10"/>
  <c r="B111" i="10"/>
  <c r="C111" i="10"/>
  <c r="D111" i="10"/>
  <c r="E111" i="10"/>
  <c r="F111" i="10"/>
  <c r="A112" i="10"/>
  <c r="B112" i="10"/>
  <c r="C112" i="10"/>
  <c r="D112" i="10"/>
  <c r="E112" i="10"/>
  <c r="F112" i="10"/>
  <c r="A113" i="10"/>
  <c r="B113" i="10"/>
  <c r="C113" i="10"/>
  <c r="D113" i="10"/>
  <c r="E113" i="10"/>
  <c r="F113" i="10"/>
  <c r="G97" i="10"/>
  <c r="E97" i="10"/>
  <c r="C97" i="10"/>
  <c r="D97" i="10"/>
  <c r="B97" i="10"/>
  <c r="A97" i="10"/>
  <c r="F92" i="10"/>
  <c r="G250" i="10" s="1"/>
  <c r="F91" i="10"/>
  <c r="F90" i="10"/>
  <c r="G18" i="7"/>
  <c r="G19" i="7"/>
  <c r="G20" i="7"/>
  <c r="G17" i="7"/>
  <c r="F18" i="7"/>
  <c r="F19" i="7"/>
  <c r="F17" i="7"/>
  <c r="F43" i="7"/>
  <c r="F44" i="7"/>
  <c r="F45" i="7"/>
  <c r="F41" i="7"/>
  <c r="F42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40" i="7"/>
  <c r="K95" i="17"/>
  <c r="J95" i="17"/>
  <c r="I95" i="17"/>
  <c r="H95" i="17"/>
  <c r="G95" i="17"/>
  <c r="K94" i="17"/>
  <c r="J94" i="17"/>
  <c r="I94" i="17"/>
  <c r="H94" i="17"/>
  <c r="G94" i="17"/>
  <c r="J36" i="2"/>
  <c r="K92" i="17"/>
  <c r="J92" i="17"/>
  <c r="I92" i="17"/>
  <c r="H92" i="17"/>
  <c r="G92" i="17"/>
  <c r="J98" i="2"/>
  <c r="I86" i="2"/>
  <c r="J86" i="2" s="1"/>
  <c r="I87" i="2"/>
  <c r="J87" i="2" s="1"/>
  <c r="I88" i="2"/>
  <c r="I89" i="2"/>
  <c r="I90" i="2"/>
  <c r="I92" i="2"/>
  <c r="I93" i="2"/>
  <c r="I85" i="2"/>
  <c r="F54" i="17"/>
  <c r="H57" i="17"/>
  <c r="G54" i="17"/>
  <c r="H54" i="17"/>
  <c r="K54" i="17"/>
  <c r="J54" i="17"/>
  <c r="I54" i="17"/>
  <c r="I57" i="17"/>
  <c r="I55" i="17"/>
  <c r="K55" i="17"/>
  <c r="J55" i="17"/>
  <c r="I27" i="17"/>
  <c r="I32" i="17" s="1"/>
  <c r="E104" i="17"/>
  <c r="E103" i="17" s="1"/>
  <c r="F96" i="17"/>
  <c r="E79" i="17"/>
  <c r="E78" i="17"/>
  <c r="E77" i="17"/>
  <c r="E76" i="17"/>
  <c r="E75" i="17"/>
  <c r="E67" i="17"/>
  <c r="E64" i="17"/>
  <c r="K57" i="17"/>
  <c r="J57" i="17"/>
  <c r="E51" i="17"/>
  <c r="E81" i="17" s="1"/>
  <c r="E38" i="17"/>
  <c r="E37" i="17"/>
  <c r="K32" i="17"/>
  <c r="J32" i="17"/>
  <c r="H32" i="17"/>
  <c r="H47" i="17" s="1"/>
  <c r="G32" i="17"/>
  <c r="G43" i="17" s="1"/>
  <c r="F32" i="17"/>
  <c r="F50" i="17" s="1"/>
  <c r="F243" i="10" l="1"/>
  <c r="J37" i="17"/>
  <c r="K38" i="17"/>
  <c r="I50" i="17"/>
  <c r="I37" i="17"/>
  <c r="J46" i="17"/>
  <c r="E86" i="17"/>
  <c r="F86" i="17" s="1"/>
  <c r="F87" i="17" s="1"/>
  <c r="K48" i="17"/>
  <c r="E39" i="17"/>
  <c r="E65" i="17"/>
  <c r="G38" i="17"/>
  <c r="F58" i="17"/>
  <c r="G47" i="17"/>
  <c r="G48" i="17"/>
  <c r="G44" i="17"/>
  <c r="K58" i="17"/>
  <c r="F77" i="17"/>
  <c r="G49" i="17"/>
  <c r="G78" i="17"/>
  <c r="G37" i="17"/>
  <c r="G46" i="17"/>
  <c r="K49" i="17"/>
  <c r="K43" i="17"/>
  <c r="I43" i="17"/>
  <c r="I46" i="17"/>
  <c r="I48" i="17"/>
  <c r="I45" i="17"/>
  <c r="I47" i="17"/>
  <c r="I44" i="17"/>
  <c r="I49" i="17"/>
  <c r="K46" i="17"/>
  <c r="G58" i="17"/>
  <c r="G77" i="17"/>
  <c r="K67" i="17"/>
  <c r="K68" i="17" s="1"/>
  <c r="K44" i="17"/>
  <c r="J58" i="17"/>
  <c r="I58" i="17"/>
  <c r="F67" i="17"/>
  <c r="F68" i="17" s="1"/>
  <c r="F78" i="17"/>
  <c r="G50" i="17"/>
  <c r="F38" i="17"/>
  <c r="G45" i="17"/>
  <c r="K47" i="17"/>
  <c r="H79" i="17"/>
  <c r="G112" i="17"/>
  <c r="K37" i="17"/>
  <c r="K50" i="17"/>
  <c r="K75" i="17"/>
  <c r="G79" i="17"/>
  <c r="K112" i="17"/>
  <c r="K45" i="17"/>
  <c r="I76" i="17"/>
  <c r="I79" i="17"/>
  <c r="I64" i="17"/>
  <c r="I65" i="17" s="1"/>
  <c r="F76" i="17"/>
  <c r="K79" i="17"/>
  <c r="H78" i="17"/>
  <c r="J43" i="17"/>
  <c r="F45" i="17"/>
  <c r="H46" i="17"/>
  <c r="J47" i="17"/>
  <c r="F49" i="17"/>
  <c r="H50" i="17"/>
  <c r="G64" i="17"/>
  <c r="F75" i="17"/>
  <c r="G76" i="17"/>
  <c r="H77" i="17"/>
  <c r="I78" i="17"/>
  <c r="J79" i="17"/>
  <c r="F112" i="17"/>
  <c r="F116" i="17"/>
  <c r="H64" i="17"/>
  <c r="I77" i="17"/>
  <c r="F37" i="17"/>
  <c r="F66" i="17" s="1"/>
  <c r="F44" i="17"/>
  <c r="H45" i="17"/>
  <c r="F48" i="17"/>
  <c r="H49" i="17"/>
  <c r="J50" i="17"/>
  <c r="G67" i="17"/>
  <c r="G68" i="17" s="1"/>
  <c r="H75" i="17"/>
  <c r="J77" i="17"/>
  <c r="K78" i="17"/>
  <c r="H112" i="17"/>
  <c r="H76" i="17"/>
  <c r="J64" i="17"/>
  <c r="H67" i="17"/>
  <c r="H68" i="17" s="1"/>
  <c r="I75" i="17"/>
  <c r="J76" i="17"/>
  <c r="K77" i="17"/>
  <c r="I112" i="17"/>
  <c r="G75" i="17"/>
  <c r="J78" i="17"/>
  <c r="H38" i="17"/>
  <c r="H37" i="17"/>
  <c r="I38" i="17"/>
  <c r="F43" i="17"/>
  <c r="H44" i="17"/>
  <c r="J45" i="17"/>
  <c r="F47" i="17"/>
  <c r="H48" i="17"/>
  <c r="J49" i="17"/>
  <c r="K64" i="17"/>
  <c r="I67" i="17"/>
  <c r="I68" i="17" s="1"/>
  <c r="J75" i="17"/>
  <c r="K76" i="17"/>
  <c r="F79" i="17"/>
  <c r="J112" i="17"/>
  <c r="J38" i="17"/>
  <c r="J67" i="17"/>
  <c r="J68" i="17" s="1"/>
  <c r="H43" i="17"/>
  <c r="J44" i="17"/>
  <c r="F46" i="17"/>
  <c r="J48" i="17"/>
  <c r="F51" i="17" l="1"/>
  <c r="G86" i="17"/>
  <c r="H86" i="17" s="1"/>
  <c r="F65" i="17"/>
  <c r="F70" i="17" s="1"/>
  <c r="F69" i="17"/>
  <c r="I39" i="17"/>
  <c r="I40" i="17" s="1"/>
  <c r="I66" i="17"/>
  <c r="K39" i="17"/>
  <c r="G39" i="17"/>
  <c r="G40" i="17" s="1"/>
  <c r="K65" i="17"/>
  <c r="H39" i="17"/>
  <c r="H40" i="17" s="1"/>
  <c r="K69" i="17"/>
  <c r="G51" i="17"/>
  <c r="G66" i="17"/>
  <c r="H66" i="17"/>
  <c r="F80" i="17"/>
  <c r="F81" i="17" s="1"/>
  <c r="F82" i="17" s="1"/>
  <c r="F89" i="17" s="1"/>
  <c r="K40" i="17"/>
  <c r="K66" i="17"/>
  <c r="K51" i="17"/>
  <c r="I51" i="17"/>
  <c r="I69" i="17"/>
  <c r="K80" i="17"/>
  <c r="K81" i="17" s="1"/>
  <c r="K82" i="17" s="1"/>
  <c r="G69" i="17"/>
  <c r="G80" i="17"/>
  <c r="G81" i="17" s="1"/>
  <c r="H80" i="17"/>
  <c r="H81" i="17" s="1"/>
  <c r="H82" i="17" s="1"/>
  <c r="G87" i="17"/>
  <c r="J69" i="17"/>
  <c r="J66" i="17"/>
  <c r="H65" i="17"/>
  <c r="G65" i="17"/>
  <c r="J51" i="17"/>
  <c r="H69" i="17"/>
  <c r="J39" i="17"/>
  <c r="J40" i="17" s="1"/>
  <c r="H51" i="17"/>
  <c r="J80" i="17"/>
  <c r="I80" i="17"/>
  <c r="J65" i="17"/>
  <c r="F39" i="17"/>
  <c r="F40" i="17" s="1"/>
  <c r="I60" i="17" l="1"/>
  <c r="I113" i="17" s="1"/>
  <c r="G60" i="17"/>
  <c r="G113" i="17" s="1"/>
  <c r="K70" i="17"/>
  <c r="K114" i="17" s="1"/>
  <c r="K60" i="17"/>
  <c r="K113" i="17" s="1"/>
  <c r="F60" i="17"/>
  <c r="F113" i="17" s="1"/>
  <c r="G82" i="17"/>
  <c r="G89" i="17" s="1"/>
  <c r="H70" i="17"/>
  <c r="H114" i="17" s="1"/>
  <c r="I70" i="17"/>
  <c r="I114" i="17" s="1"/>
  <c r="F114" i="17"/>
  <c r="J70" i="17"/>
  <c r="J114" i="17" s="1"/>
  <c r="G70" i="17"/>
  <c r="G114" i="17" s="1"/>
  <c r="F115" i="17"/>
  <c r="I81" i="17"/>
  <c r="I82" i="17" s="1"/>
  <c r="J81" i="17"/>
  <c r="J82" i="17" s="1"/>
  <c r="H87" i="17"/>
  <c r="H89" i="17" s="1"/>
  <c r="I86" i="17"/>
  <c r="J60" i="17"/>
  <c r="J113" i="17" s="1"/>
  <c r="H113" i="17" l="1"/>
  <c r="G115" i="17"/>
  <c r="F98" i="17"/>
  <c r="H115" i="17"/>
  <c r="J86" i="17"/>
  <c r="I87" i="17"/>
  <c r="I89" i="17" s="1"/>
  <c r="F101" i="17" l="1"/>
  <c r="I115" i="17"/>
  <c r="K86" i="17"/>
  <c r="K87" i="17" s="1"/>
  <c r="K89" i="17" s="1"/>
  <c r="J87" i="17"/>
  <c r="J89" i="17" s="1"/>
  <c r="F102" i="17" l="1"/>
  <c r="F103" i="17" s="1"/>
  <c r="F105" i="17" s="1"/>
  <c r="J115" i="17"/>
  <c r="K115" i="17"/>
  <c r="F106" i="17" l="1"/>
  <c r="F107" i="17"/>
  <c r="F108" i="17" l="1"/>
  <c r="F117" i="17" s="1"/>
  <c r="F118" i="17" s="1"/>
  <c r="F122" i="17" s="1"/>
  <c r="F127" i="17" s="1"/>
  <c r="F129" i="17" s="1"/>
  <c r="G12" i="7"/>
  <c r="M35" i="2"/>
  <c r="I35" i="2" s="1"/>
  <c r="J35" i="2" s="1"/>
  <c r="I6" i="2"/>
  <c r="J6" i="2" s="1"/>
  <c r="I7" i="2"/>
  <c r="J7" i="2" s="1"/>
  <c r="I8" i="2"/>
  <c r="J8" i="2" s="1"/>
  <c r="I9" i="2"/>
  <c r="J9" i="2" s="1"/>
  <c r="I10" i="2"/>
  <c r="J10" i="2" s="1"/>
  <c r="I11" i="2"/>
  <c r="J11" i="2" s="1"/>
  <c r="I13" i="2"/>
  <c r="J13" i="2" s="1"/>
  <c r="I14" i="2"/>
  <c r="J14" i="2" s="1"/>
  <c r="I15" i="2"/>
  <c r="I16" i="2"/>
  <c r="I17" i="2"/>
  <c r="J17" i="2" s="1"/>
  <c r="I18" i="2"/>
  <c r="J18" i="2" s="1"/>
  <c r="I19" i="2"/>
  <c r="J19" i="2" s="1"/>
  <c r="I20" i="2"/>
  <c r="J20" i="2" s="1"/>
  <c r="I21" i="2"/>
  <c r="J21" i="2" s="1"/>
  <c r="I22" i="2"/>
  <c r="I23" i="2"/>
  <c r="I24" i="2"/>
  <c r="I25" i="2"/>
  <c r="I26" i="2"/>
  <c r="J26" i="2" s="1"/>
  <c r="I27" i="2"/>
  <c r="J27" i="2" s="1"/>
  <c r="I28" i="2"/>
  <c r="J28" i="2" s="1"/>
  <c r="I29" i="2"/>
  <c r="J29" i="2" s="1"/>
  <c r="I30" i="2"/>
  <c r="I31" i="2"/>
  <c r="J31" i="2" s="1"/>
  <c r="I32" i="2"/>
  <c r="J32" i="2" s="1"/>
  <c r="I33" i="2"/>
  <c r="J33" i="2" s="1"/>
  <c r="I34" i="2"/>
  <c r="J34" i="2" s="1"/>
  <c r="I5" i="2"/>
  <c r="J5" i="2" s="1"/>
  <c r="G104" i="2"/>
  <c r="G105" i="2"/>
  <c r="G106" i="2"/>
  <c r="G107" i="2"/>
  <c r="G108" i="2"/>
  <c r="G103" i="2"/>
  <c r="L94" i="2"/>
  <c r="I94" i="2" s="1"/>
  <c r="J94" i="2" s="1"/>
  <c r="N91" i="2"/>
  <c r="M91" i="2"/>
  <c r="I91" i="2" s="1"/>
  <c r="J116" i="2"/>
  <c r="J117" i="2"/>
  <c r="J118" i="2"/>
  <c r="J119" i="2"/>
  <c r="J120" i="2"/>
  <c r="J121" i="2"/>
  <c r="J115" i="2"/>
  <c r="K115" i="2" s="1"/>
  <c r="G60" i="7"/>
  <c r="G12" i="2"/>
  <c r="I12" i="2" s="1"/>
  <c r="J12" i="2" s="1"/>
  <c r="J29" i="7"/>
  <c r="J28" i="7"/>
  <c r="L28" i="7"/>
  <c r="L29" i="7"/>
  <c r="L30" i="7"/>
  <c r="L31" i="7"/>
  <c r="L32" i="7"/>
  <c r="L27" i="7"/>
  <c r="K32" i="7"/>
  <c r="K31" i="7"/>
  <c r="K30" i="7"/>
  <c r="K29" i="7"/>
  <c r="K28" i="7"/>
  <c r="F28" i="7" s="1"/>
  <c r="G28" i="7" s="1"/>
  <c r="K27" i="7"/>
  <c r="J32" i="7"/>
  <c r="J31" i="7"/>
  <c r="J30" i="7"/>
  <c r="J27" i="7"/>
  <c r="G84" i="7"/>
  <c r="G85" i="7"/>
  <c r="K23" i="7"/>
  <c r="M23" i="7"/>
  <c r="F80" i="7"/>
  <c r="G80" i="7" s="1"/>
  <c r="F82" i="7"/>
  <c r="G82" i="7" s="1"/>
  <c r="J15" i="2"/>
  <c r="J16" i="2"/>
  <c r="J22" i="2"/>
  <c r="J23" i="2"/>
  <c r="J24" i="2"/>
  <c r="J25" i="2"/>
  <c r="J30" i="2"/>
  <c r="J83" i="7"/>
  <c r="L83" i="7"/>
  <c r="J81" i="7"/>
  <c r="F81" i="7" s="1"/>
  <c r="G81" i="7" s="1"/>
  <c r="K20" i="7"/>
  <c r="J20" i="7"/>
  <c r="J17" i="7"/>
  <c r="G77" i="7"/>
  <c r="G78" i="7"/>
  <c r="G79" i="7"/>
  <c r="G76" i="7"/>
  <c r="G75" i="7"/>
  <c r="G74" i="7"/>
  <c r="G73" i="7"/>
  <c r="G72" i="7"/>
  <c r="G61" i="7"/>
  <c r="G62" i="7"/>
  <c r="G63" i="7"/>
  <c r="G64" i="7"/>
  <c r="G65" i="7"/>
  <c r="G66" i="7"/>
  <c r="G67" i="7"/>
  <c r="G68" i="7"/>
  <c r="G69" i="7"/>
  <c r="G70" i="7"/>
  <c r="G71" i="7"/>
  <c r="G59" i="7"/>
  <c r="G58" i="7"/>
  <c r="G57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D39" i="7"/>
  <c r="G39" i="7" s="1"/>
  <c r="G38" i="7"/>
  <c r="G33" i="7"/>
  <c r="G34" i="7"/>
  <c r="G35" i="7"/>
  <c r="G36" i="7"/>
  <c r="G37" i="7"/>
  <c r="G25" i="7"/>
  <c r="G26" i="7"/>
  <c r="G5" i="7"/>
  <c r="G6" i="7"/>
  <c r="G7" i="7"/>
  <c r="G8" i="7"/>
  <c r="G9" i="7"/>
  <c r="G10" i="7"/>
  <c r="G11" i="7"/>
  <c r="G13" i="7"/>
  <c r="G14" i="7"/>
  <c r="G15" i="7"/>
  <c r="G16" i="7"/>
  <c r="G21" i="7"/>
  <c r="G22" i="7"/>
  <c r="G24" i="7"/>
  <c r="G4" i="7"/>
  <c r="E148" i="12"/>
  <c r="E144" i="12"/>
  <c r="E53" i="12"/>
  <c r="C52" i="12"/>
  <c r="E46" i="12"/>
  <c r="E45" i="12"/>
  <c r="E39" i="12"/>
  <c r="E34" i="12"/>
  <c r="F21" i="12"/>
  <c r="C21" i="12"/>
  <c r="D21" i="12"/>
  <c r="B21" i="12"/>
  <c r="E15" i="12"/>
  <c r="I29" i="15"/>
  <c r="H29" i="15"/>
  <c r="F29" i="15" s="1"/>
  <c r="J234" i="15"/>
  <c r="I234" i="15"/>
  <c r="H234" i="15"/>
  <c r="E306" i="15"/>
  <c r="E305" i="15"/>
  <c r="F303" i="15"/>
  <c r="F450" i="15"/>
  <c r="F449" i="15" s="1"/>
  <c r="F82" i="12" s="1"/>
  <c r="J477" i="15"/>
  <c r="F477" i="15" s="1"/>
  <c r="F476" i="15" s="1"/>
  <c r="F90" i="12" s="1"/>
  <c r="F144" i="12"/>
  <c r="F145" i="12"/>
  <c r="F146" i="12"/>
  <c r="F147" i="12"/>
  <c r="F148" i="12"/>
  <c r="F143" i="12"/>
  <c r="F142" i="12"/>
  <c r="F141" i="12"/>
  <c r="C141" i="12"/>
  <c r="D141" i="12"/>
  <c r="C142" i="12"/>
  <c r="D142" i="12"/>
  <c r="B142" i="12"/>
  <c r="B141" i="12"/>
  <c r="F140" i="12"/>
  <c r="F139" i="12"/>
  <c r="C139" i="12"/>
  <c r="D139" i="12"/>
  <c r="C140" i="12"/>
  <c r="D140" i="12"/>
  <c r="B140" i="12"/>
  <c r="B139" i="12"/>
  <c r="F138" i="12"/>
  <c r="F137" i="12"/>
  <c r="F136" i="12"/>
  <c r="C136" i="12"/>
  <c r="D136" i="12"/>
  <c r="C137" i="12"/>
  <c r="D137" i="12"/>
  <c r="C138" i="12"/>
  <c r="D138" i="12"/>
  <c r="B138" i="12"/>
  <c r="B137" i="12"/>
  <c r="B136" i="12"/>
  <c r="F652" i="15"/>
  <c r="F126" i="12" s="1"/>
  <c r="F653" i="15"/>
  <c r="F127" i="12" s="1"/>
  <c r="F654" i="15"/>
  <c r="F128" i="12" s="1"/>
  <c r="F655" i="15"/>
  <c r="F129" i="12" s="1"/>
  <c r="F656" i="15"/>
  <c r="F130" i="12" s="1"/>
  <c r="F657" i="15"/>
  <c r="F131" i="12" s="1"/>
  <c r="F658" i="15"/>
  <c r="F132" i="12" s="1"/>
  <c r="F659" i="15"/>
  <c r="F133" i="12" s="1"/>
  <c r="F660" i="15"/>
  <c r="F134" i="12" s="1"/>
  <c r="F661" i="15"/>
  <c r="F135" i="12" s="1"/>
  <c r="F651" i="15"/>
  <c r="F125" i="12" s="1"/>
  <c r="E134" i="12"/>
  <c r="E131" i="12"/>
  <c r="E129" i="12"/>
  <c r="E126" i="12"/>
  <c r="F643" i="15"/>
  <c r="F122" i="12" s="1"/>
  <c r="F642" i="15"/>
  <c r="F641" i="15"/>
  <c r="F639" i="15"/>
  <c r="F638" i="15"/>
  <c r="F636" i="15"/>
  <c r="F635" i="15"/>
  <c r="F630" i="15"/>
  <c r="F118" i="12" s="1"/>
  <c r="F621" i="15"/>
  <c r="F616" i="15"/>
  <c r="F611" i="15"/>
  <c r="F606" i="15"/>
  <c r="F596" i="15"/>
  <c r="F601" i="15"/>
  <c r="F591" i="15"/>
  <c r="F586" i="15"/>
  <c r="F581" i="15"/>
  <c r="F576" i="15"/>
  <c r="F571" i="15"/>
  <c r="F566" i="15"/>
  <c r="F501" i="15"/>
  <c r="F507" i="15" s="1"/>
  <c r="F513" i="15" s="1"/>
  <c r="F519" i="15" s="1"/>
  <c r="F525" i="15" s="1"/>
  <c r="F531" i="15" s="1"/>
  <c r="F537" i="15" s="1"/>
  <c r="F543" i="15" s="1"/>
  <c r="F549" i="15" s="1"/>
  <c r="F555" i="15" s="1"/>
  <c r="F561" i="15" s="1"/>
  <c r="F500" i="15"/>
  <c r="F497" i="15"/>
  <c r="F503" i="15" s="1"/>
  <c r="F509" i="15" s="1"/>
  <c r="F515" i="15" s="1"/>
  <c r="F521" i="15" s="1"/>
  <c r="F527" i="15" s="1"/>
  <c r="F533" i="15" s="1"/>
  <c r="F539" i="15" s="1"/>
  <c r="F545" i="15" s="1"/>
  <c r="F551" i="15" s="1"/>
  <c r="F557" i="15" s="1"/>
  <c r="F563" i="15" s="1"/>
  <c r="F568" i="15" s="1"/>
  <c r="F573" i="15" s="1"/>
  <c r="F578" i="15" s="1"/>
  <c r="F583" i="15" s="1"/>
  <c r="F588" i="15" s="1"/>
  <c r="F593" i="15" s="1"/>
  <c r="F598" i="15" s="1"/>
  <c r="F603" i="15" s="1"/>
  <c r="F608" i="15" s="1"/>
  <c r="F613" i="15" s="1"/>
  <c r="F618" i="15" s="1"/>
  <c r="F623" i="15" s="1"/>
  <c r="F496" i="15"/>
  <c r="F502" i="15" s="1"/>
  <c r="F508" i="15" s="1"/>
  <c r="F451" i="15"/>
  <c r="F83" i="12" s="1"/>
  <c r="F445" i="15"/>
  <c r="F444" i="15"/>
  <c r="F437" i="15"/>
  <c r="F80" i="12" s="1"/>
  <c r="F62" i="12"/>
  <c r="D144" i="12"/>
  <c r="D145" i="12"/>
  <c r="D146" i="12"/>
  <c r="D147" i="12"/>
  <c r="D148" i="12"/>
  <c r="D143" i="12"/>
  <c r="C143" i="12"/>
  <c r="C144" i="12"/>
  <c r="C145" i="12"/>
  <c r="C146" i="12"/>
  <c r="C147" i="12"/>
  <c r="C148" i="12"/>
  <c r="B144" i="12"/>
  <c r="B145" i="12"/>
  <c r="B146" i="12"/>
  <c r="B147" i="12"/>
  <c r="B148" i="12"/>
  <c r="B143" i="12"/>
  <c r="D135" i="12"/>
  <c r="C135" i="12"/>
  <c r="B135" i="12"/>
  <c r="C125" i="12"/>
  <c r="D125" i="12"/>
  <c r="C126" i="12"/>
  <c r="D126" i="12"/>
  <c r="C127" i="12"/>
  <c r="D127" i="12"/>
  <c r="C128" i="12"/>
  <c r="D128" i="12"/>
  <c r="C129" i="12"/>
  <c r="D129" i="12"/>
  <c r="C130" i="12"/>
  <c r="D130" i="12"/>
  <c r="C131" i="12"/>
  <c r="D131" i="12"/>
  <c r="C132" i="12"/>
  <c r="D132" i="12"/>
  <c r="C133" i="12"/>
  <c r="D133" i="12"/>
  <c r="C134" i="12"/>
  <c r="D134" i="12"/>
  <c r="B134" i="12"/>
  <c r="B126" i="12"/>
  <c r="B127" i="12"/>
  <c r="B128" i="12"/>
  <c r="B129" i="12"/>
  <c r="B130" i="12"/>
  <c r="B131" i="12"/>
  <c r="B132" i="12"/>
  <c r="B133" i="12"/>
  <c r="B125" i="12"/>
  <c r="C119" i="12"/>
  <c r="D119" i="12"/>
  <c r="C120" i="12"/>
  <c r="D120" i="12"/>
  <c r="C121" i="12"/>
  <c r="D121" i="12"/>
  <c r="C122" i="12"/>
  <c r="D122" i="12"/>
  <c r="C123" i="12"/>
  <c r="D123" i="12"/>
  <c r="C124" i="12"/>
  <c r="D124" i="12"/>
  <c r="B124" i="12"/>
  <c r="B123" i="12"/>
  <c r="B122" i="12"/>
  <c r="B121" i="12"/>
  <c r="B120" i="12"/>
  <c r="B119" i="12"/>
  <c r="F117" i="12"/>
  <c r="C113" i="12"/>
  <c r="D113" i="12"/>
  <c r="C114" i="12"/>
  <c r="D114" i="12"/>
  <c r="C115" i="12"/>
  <c r="D115" i="12"/>
  <c r="C116" i="12"/>
  <c r="D116" i="12"/>
  <c r="C117" i="12"/>
  <c r="D117" i="12"/>
  <c r="C118" i="12"/>
  <c r="D118" i="12"/>
  <c r="B118" i="12"/>
  <c r="B117" i="12"/>
  <c r="B116" i="12"/>
  <c r="B115" i="12"/>
  <c r="B114" i="12"/>
  <c r="B113" i="12"/>
  <c r="C103" i="12"/>
  <c r="D103" i="12"/>
  <c r="C104" i="12"/>
  <c r="D104" i="12"/>
  <c r="C105" i="12"/>
  <c r="D105" i="12"/>
  <c r="C106" i="12"/>
  <c r="D106" i="12"/>
  <c r="C107" i="12"/>
  <c r="D107" i="12"/>
  <c r="C108" i="12"/>
  <c r="D108" i="12"/>
  <c r="C109" i="12"/>
  <c r="D109" i="12"/>
  <c r="C110" i="12"/>
  <c r="D110" i="12"/>
  <c r="C111" i="12"/>
  <c r="D111" i="12"/>
  <c r="C112" i="12"/>
  <c r="D112" i="12"/>
  <c r="B112" i="12"/>
  <c r="B111" i="12"/>
  <c r="B110" i="12"/>
  <c r="B109" i="12"/>
  <c r="B108" i="12"/>
  <c r="B107" i="12"/>
  <c r="B106" i="12"/>
  <c r="B105" i="12"/>
  <c r="B104" i="12"/>
  <c r="B103" i="12"/>
  <c r="C95" i="12"/>
  <c r="D95" i="12"/>
  <c r="C96" i="12"/>
  <c r="D96" i="12"/>
  <c r="C97" i="12"/>
  <c r="D97" i="12"/>
  <c r="C98" i="12"/>
  <c r="D98" i="12"/>
  <c r="C99" i="12"/>
  <c r="D99" i="12"/>
  <c r="C100" i="12"/>
  <c r="D100" i="12"/>
  <c r="C101" i="12"/>
  <c r="D101" i="12"/>
  <c r="C102" i="12"/>
  <c r="D102" i="12"/>
  <c r="B102" i="12"/>
  <c r="B101" i="12"/>
  <c r="B100" i="12"/>
  <c r="B99" i="12"/>
  <c r="B98" i="12"/>
  <c r="B97" i="12"/>
  <c r="B96" i="12"/>
  <c r="B95" i="12"/>
  <c r="F92" i="12"/>
  <c r="F91" i="12"/>
  <c r="F88" i="12"/>
  <c r="C88" i="12"/>
  <c r="D88" i="12"/>
  <c r="C90" i="12"/>
  <c r="D90" i="12"/>
  <c r="C91" i="12"/>
  <c r="D91" i="12"/>
  <c r="C92" i="12"/>
  <c r="D92" i="12"/>
  <c r="C93" i="12"/>
  <c r="D93" i="12"/>
  <c r="C94" i="12"/>
  <c r="D94" i="12"/>
  <c r="B94" i="12"/>
  <c r="B93" i="12"/>
  <c r="B92" i="12"/>
  <c r="B91" i="12"/>
  <c r="B90" i="12"/>
  <c r="B88" i="12"/>
  <c r="F87" i="12"/>
  <c r="F86" i="12"/>
  <c r="F85" i="12"/>
  <c r="F84" i="12"/>
  <c r="C84" i="12"/>
  <c r="D84" i="12"/>
  <c r="C85" i="12"/>
  <c r="D85" i="12"/>
  <c r="C86" i="12"/>
  <c r="D86" i="12"/>
  <c r="C87" i="12"/>
  <c r="D87" i="12"/>
  <c r="B87" i="12"/>
  <c r="B86" i="12"/>
  <c r="B85" i="12"/>
  <c r="B84" i="12"/>
  <c r="F81" i="12"/>
  <c r="C81" i="12"/>
  <c r="D81" i="12"/>
  <c r="C82" i="12"/>
  <c r="D82" i="12"/>
  <c r="C83" i="12"/>
  <c r="D83" i="12"/>
  <c r="B83" i="12"/>
  <c r="B82" i="12"/>
  <c r="B81" i="12"/>
  <c r="F79" i="12"/>
  <c r="F78" i="12"/>
  <c r="F77" i="12"/>
  <c r="C77" i="12"/>
  <c r="D77" i="12"/>
  <c r="C78" i="12"/>
  <c r="D78" i="12"/>
  <c r="C79" i="12"/>
  <c r="D79" i="12"/>
  <c r="C80" i="12"/>
  <c r="D80" i="12"/>
  <c r="B80" i="12"/>
  <c r="B79" i="12"/>
  <c r="B78" i="12"/>
  <c r="B77" i="12"/>
  <c r="F76" i="12"/>
  <c r="F75" i="12"/>
  <c r="F74" i="12"/>
  <c r="C74" i="12"/>
  <c r="D74" i="12"/>
  <c r="C75" i="12"/>
  <c r="D75" i="12"/>
  <c r="C76" i="12"/>
  <c r="D76" i="12"/>
  <c r="B76" i="12"/>
  <c r="B75" i="12"/>
  <c r="B74" i="12"/>
  <c r="F73" i="12"/>
  <c r="F72" i="12"/>
  <c r="F71" i="12"/>
  <c r="D71" i="12"/>
  <c r="D72" i="12"/>
  <c r="D73" i="12"/>
  <c r="C71" i="12"/>
  <c r="C72" i="12"/>
  <c r="C73" i="12"/>
  <c r="B73" i="12"/>
  <c r="B72" i="12"/>
  <c r="B71" i="12"/>
  <c r="F70" i="12"/>
  <c r="F69" i="12"/>
  <c r="C69" i="12"/>
  <c r="D69" i="12"/>
  <c r="C70" i="12"/>
  <c r="D70" i="12"/>
  <c r="B70" i="12"/>
  <c r="B69" i="12"/>
  <c r="F68" i="12"/>
  <c r="F67" i="12"/>
  <c r="F66" i="12"/>
  <c r="C66" i="12"/>
  <c r="D66" i="12"/>
  <c r="C67" i="12"/>
  <c r="D67" i="12"/>
  <c r="C68" i="12"/>
  <c r="D68" i="12"/>
  <c r="B68" i="12"/>
  <c r="B67" i="12"/>
  <c r="B66" i="12"/>
  <c r="F65" i="12"/>
  <c r="F64" i="12"/>
  <c r="F63" i="12"/>
  <c r="D63" i="12"/>
  <c r="D64" i="12"/>
  <c r="D65" i="12"/>
  <c r="C63" i="12"/>
  <c r="C64" i="12"/>
  <c r="C65" i="12"/>
  <c r="B65" i="12"/>
  <c r="B64" i="12"/>
  <c r="B63" i="12"/>
  <c r="C61" i="12"/>
  <c r="D61" i="12"/>
  <c r="C62" i="12"/>
  <c r="D62" i="12"/>
  <c r="B62" i="12"/>
  <c r="B61" i="12"/>
  <c r="F128" i="17" l="1"/>
  <c r="F130" i="17"/>
  <c r="F23" i="7"/>
  <c r="G23" i="7" s="1"/>
  <c r="F32" i="7"/>
  <c r="G32" i="7" s="1"/>
  <c r="F29" i="7"/>
  <c r="G29" i="7" s="1"/>
  <c r="F30" i="7"/>
  <c r="G30" i="7" s="1"/>
  <c r="F31" i="7"/>
  <c r="G31" i="7" s="1"/>
  <c r="F20" i="7"/>
  <c r="F27" i="7"/>
  <c r="G27" i="7" s="1"/>
  <c r="F83" i="7"/>
  <c r="G83" i="7" s="1"/>
  <c r="F234" i="15"/>
  <c r="F230" i="15" s="1"/>
  <c r="F45" i="12" s="1"/>
  <c r="F302" i="15"/>
  <c r="F637" i="15"/>
  <c r="F120" i="12" s="1"/>
  <c r="F640" i="15"/>
  <c r="F121" i="12" s="1"/>
  <c r="F634" i="15"/>
  <c r="F119" i="12" s="1"/>
  <c r="F492" i="15"/>
  <c r="F93" i="12" s="1"/>
  <c r="F504" i="15"/>
  <c r="F95" i="12" s="1"/>
  <c r="F514" i="15"/>
  <c r="F520" i="15" s="1"/>
  <c r="F526" i="15" s="1"/>
  <c r="F532" i="15" s="1"/>
  <c r="F498" i="15"/>
  <c r="F94" i="12" s="1"/>
  <c r="F327" i="15"/>
  <c r="F310" i="15"/>
  <c r="F309" i="15"/>
  <c r="F293" i="15"/>
  <c r="F300" i="15"/>
  <c r="F292" i="15" s="1"/>
  <c r="F258" i="15"/>
  <c r="F261" i="15"/>
  <c r="F241" i="15"/>
  <c r="F260" i="15" s="1"/>
  <c r="F240" i="15"/>
  <c r="F177" i="15"/>
  <c r="E171" i="15"/>
  <c r="F163" i="15"/>
  <c r="F175" i="15" s="1"/>
  <c r="F152" i="15"/>
  <c r="F158" i="15" s="1"/>
  <c r="F164" i="15" s="1"/>
  <c r="F154" i="15"/>
  <c r="F160" i="15" s="1"/>
  <c r="F166" i="15" s="1"/>
  <c r="F155" i="15"/>
  <c r="F161" i="15" s="1"/>
  <c r="F167" i="15" s="1"/>
  <c r="F179" i="15" s="1"/>
  <c r="F184" i="15" s="1"/>
  <c r="F151" i="15"/>
  <c r="F108" i="15"/>
  <c r="F109" i="15"/>
  <c r="F75" i="15"/>
  <c r="F18" i="12" s="1"/>
  <c r="F57" i="15"/>
  <c r="F61" i="15" s="1"/>
  <c r="F56" i="15"/>
  <c r="F60" i="15" s="1"/>
  <c r="F283" i="15"/>
  <c r="F54" i="12"/>
  <c r="F53" i="12"/>
  <c r="F52" i="12"/>
  <c r="F236" i="15"/>
  <c r="F46" i="12" s="1"/>
  <c r="F48" i="12"/>
  <c r="F49" i="12"/>
  <c r="F44" i="12"/>
  <c r="F43" i="12"/>
  <c r="F42" i="12"/>
  <c r="F41" i="12"/>
  <c r="F40" i="12"/>
  <c r="F39" i="12"/>
  <c r="F194" i="15"/>
  <c r="F38" i="12" s="1"/>
  <c r="F29" i="12"/>
  <c r="F28" i="12"/>
  <c r="F27" i="12"/>
  <c r="F26" i="12"/>
  <c r="F25" i="12"/>
  <c r="F24" i="12"/>
  <c r="F23" i="12"/>
  <c r="F19" i="12"/>
  <c r="F17" i="12"/>
  <c r="F62" i="15"/>
  <c r="F15" i="12" s="1"/>
  <c r="F16" i="12"/>
  <c r="F12" i="12"/>
  <c r="F11" i="12"/>
  <c r="F10" i="12"/>
  <c r="F27" i="15"/>
  <c r="F6" i="12"/>
  <c r="F5" i="12"/>
  <c r="F4" i="12"/>
  <c r="C60" i="12"/>
  <c r="D60" i="12"/>
  <c r="B60" i="12"/>
  <c r="C57" i="12"/>
  <c r="D57" i="12"/>
  <c r="C58" i="12"/>
  <c r="D58" i="12"/>
  <c r="C59" i="12"/>
  <c r="D59" i="12"/>
  <c r="B59" i="12"/>
  <c r="B58" i="12"/>
  <c r="B57" i="12"/>
  <c r="C54" i="12"/>
  <c r="D54" i="12"/>
  <c r="C55" i="12"/>
  <c r="D55" i="12"/>
  <c r="C56" i="12"/>
  <c r="D56" i="12"/>
  <c r="B56" i="12"/>
  <c r="B55" i="12"/>
  <c r="B54" i="12"/>
  <c r="C51" i="12"/>
  <c r="D51" i="12"/>
  <c r="D52" i="12"/>
  <c r="C53" i="12"/>
  <c r="D53" i="12"/>
  <c r="B53" i="12"/>
  <c r="B52" i="12"/>
  <c r="B51" i="12"/>
  <c r="C48" i="12"/>
  <c r="D48" i="12"/>
  <c r="C49" i="12"/>
  <c r="D49" i="12"/>
  <c r="C50" i="12"/>
  <c r="D50" i="12"/>
  <c r="B50" i="12"/>
  <c r="B49" i="12"/>
  <c r="B48" i="12"/>
  <c r="D41" i="12"/>
  <c r="D42" i="12"/>
  <c r="D43" i="12"/>
  <c r="D44" i="12"/>
  <c r="D45" i="12"/>
  <c r="D46" i="12"/>
  <c r="D47" i="12"/>
  <c r="D18" i="12"/>
  <c r="D19" i="12"/>
  <c r="D20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4" i="12"/>
  <c r="C44" i="12"/>
  <c r="C45" i="12"/>
  <c r="C46" i="12"/>
  <c r="C47" i="12"/>
  <c r="B47" i="12"/>
  <c r="B46" i="12"/>
  <c r="B45" i="12"/>
  <c r="B44" i="12"/>
  <c r="C40" i="12"/>
  <c r="C41" i="12"/>
  <c r="C42" i="12"/>
  <c r="C43" i="12"/>
  <c r="B43" i="12"/>
  <c r="B42" i="12"/>
  <c r="B41" i="12"/>
  <c r="B40" i="12"/>
  <c r="C35" i="12"/>
  <c r="C36" i="12"/>
  <c r="C37" i="12"/>
  <c r="C38" i="12"/>
  <c r="C39" i="12"/>
  <c r="B39" i="12"/>
  <c r="B38" i="12"/>
  <c r="B37" i="12"/>
  <c r="B36" i="12"/>
  <c r="B35" i="12"/>
  <c r="C31" i="12"/>
  <c r="C10" i="12"/>
  <c r="C32" i="12"/>
  <c r="C33" i="12"/>
  <c r="C34" i="12"/>
  <c r="B34" i="12"/>
  <c r="B33" i="12"/>
  <c r="B32" i="12"/>
  <c r="B31" i="12"/>
  <c r="C26" i="12"/>
  <c r="C27" i="12"/>
  <c r="C28" i="12"/>
  <c r="C29" i="12"/>
  <c r="C30" i="12"/>
  <c r="B30" i="12"/>
  <c r="B29" i="12"/>
  <c r="B28" i="12"/>
  <c r="B27" i="12"/>
  <c r="B26" i="12"/>
  <c r="C23" i="12"/>
  <c r="C24" i="12"/>
  <c r="C25" i="12"/>
  <c r="B25" i="12"/>
  <c r="B24" i="12"/>
  <c r="B23" i="12"/>
  <c r="C19" i="12"/>
  <c r="C20" i="12"/>
  <c r="C22" i="12"/>
  <c r="B22" i="12"/>
  <c r="B20" i="12"/>
  <c r="B19" i="12"/>
  <c r="C14" i="12"/>
  <c r="C15" i="12"/>
  <c r="C16" i="12"/>
  <c r="C17" i="12"/>
  <c r="C18" i="12"/>
  <c r="B18" i="12"/>
  <c r="B17" i="12"/>
  <c r="B16" i="12"/>
  <c r="B15" i="12"/>
  <c r="B14" i="12"/>
  <c r="C13" i="12"/>
  <c r="C12" i="12"/>
  <c r="C11" i="12"/>
  <c r="B13" i="12"/>
  <c r="B12" i="12"/>
  <c r="B11" i="12"/>
  <c r="B10" i="12"/>
  <c r="C9" i="12"/>
  <c r="C8" i="12"/>
  <c r="B9" i="12"/>
  <c r="B8" i="12"/>
  <c r="C7" i="12"/>
  <c r="C6" i="12"/>
  <c r="C5" i="12"/>
  <c r="B7" i="12"/>
  <c r="B6" i="12"/>
  <c r="B5" i="12"/>
  <c r="C4" i="12"/>
  <c r="B4" i="12"/>
  <c r="E649" i="15"/>
  <c r="F648" i="15" s="1"/>
  <c r="F124" i="12" s="1"/>
  <c r="E647" i="15"/>
  <c r="F646" i="15" s="1"/>
  <c r="F123" i="12" s="1"/>
  <c r="E621" i="15"/>
  <c r="E616" i="15"/>
  <c r="E611" i="15"/>
  <c r="E606" i="15"/>
  <c r="E601" i="15"/>
  <c r="E596" i="15"/>
  <c r="E329" i="15"/>
  <c r="E328" i="15"/>
  <c r="E317" i="15"/>
  <c r="E327" i="15"/>
  <c r="E315" i="15"/>
  <c r="E313" i="15"/>
  <c r="E311" i="15"/>
  <c r="G87" i="7" l="1"/>
  <c r="F510" i="15"/>
  <c r="F96" i="12" s="1"/>
  <c r="F516" i="15"/>
  <c r="F97" i="12" s="1"/>
  <c r="F538" i="15"/>
  <c r="F544" i="15" s="1"/>
  <c r="F307" i="15"/>
  <c r="F59" i="12" s="1"/>
  <c r="F328" i="15"/>
  <c r="F289" i="15"/>
  <c r="F56" i="12" s="1"/>
  <c r="F294" i="15"/>
  <c r="F57" i="12" s="1"/>
  <c r="F238" i="15"/>
  <c r="F47" i="12" s="1"/>
  <c r="F265" i="15"/>
  <c r="F262" i="15" s="1"/>
  <c r="F51" i="12" s="1"/>
  <c r="F256" i="15"/>
  <c r="F50" i="12" s="1"/>
  <c r="F106" i="15"/>
  <c r="F22" i="12" s="1"/>
  <c r="F188" i="15"/>
  <c r="F180" i="15"/>
  <c r="F35" i="12" s="1"/>
  <c r="F169" i="15"/>
  <c r="F20" i="12"/>
  <c r="F178" i="15"/>
  <c r="F172" i="15"/>
  <c r="F176" i="15"/>
  <c r="F170" i="15"/>
  <c r="F156" i="15"/>
  <c r="F31" i="12" s="1"/>
  <c r="F173" i="15"/>
  <c r="F162" i="15"/>
  <c r="F32" i="12" s="1"/>
  <c r="F150" i="15"/>
  <c r="F30" i="12" s="1"/>
  <c r="F58" i="15"/>
  <c r="F14" i="12" s="1"/>
  <c r="F54" i="15"/>
  <c r="F13" i="12" s="1"/>
  <c r="F550" i="15" l="1"/>
  <c r="F556" i="15" s="1"/>
  <c r="F522" i="15"/>
  <c r="F98" i="12" s="1"/>
  <c r="F316" i="15"/>
  <c r="F60" i="12" s="1"/>
  <c r="F338" i="15"/>
  <c r="F174" i="15"/>
  <c r="F34" i="12" s="1"/>
  <c r="F193" i="15"/>
  <c r="F189" i="15" s="1"/>
  <c r="F37" i="12" s="1"/>
  <c r="F185" i="15"/>
  <c r="F36" i="12" s="1"/>
  <c r="F168" i="15"/>
  <c r="F33" i="12" s="1"/>
  <c r="F536" i="15" l="1"/>
  <c r="F528" i="15"/>
  <c r="F99" i="12" s="1"/>
  <c r="F562" i="15"/>
  <c r="F567" i="15" s="1"/>
  <c r="F330" i="15"/>
  <c r="F61" i="12" s="1"/>
  <c r="P27" i="16"/>
  <c r="O32" i="16"/>
  <c r="O37" i="16" s="1"/>
  <c r="G151" i="12" s="1"/>
  <c r="N32" i="16"/>
  <c r="N37" i="16" s="1"/>
  <c r="F572" i="15" l="1"/>
  <c r="F564" i="15"/>
  <c r="F105" i="12" s="1"/>
  <c r="F534" i="15"/>
  <c r="F100" i="12" s="1"/>
  <c r="F542" i="15"/>
  <c r="O9" i="16"/>
  <c r="O14" i="16" s="1"/>
  <c r="G88" i="7" s="1"/>
  <c r="G89" i="7" s="1"/>
  <c r="N9" i="16"/>
  <c r="N14" i="16" s="1"/>
  <c r="F577" i="15" l="1"/>
  <c r="F569" i="15"/>
  <c r="F106" i="12" s="1"/>
  <c r="F548" i="15"/>
  <c r="F540" i="15"/>
  <c r="F101" i="12" s="1"/>
  <c r="N243" i="10"/>
  <c r="M243" i="10"/>
  <c r="L243" i="10"/>
  <c r="K243" i="10"/>
  <c r="J243" i="10"/>
  <c r="I243" i="10"/>
  <c r="F582" i="15" l="1"/>
  <c r="F574" i="15"/>
  <c r="F107" i="12" s="1"/>
  <c r="F554" i="15"/>
  <c r="F546" i="15"/>
  <c r="F102" i="12" s="1"/>
  <c r="F587" i="15" l="1"/>
  <c r="F579" i="15"/>
  <c r="F108" i="12" s="1"/>
  <c r="F560" i="15"/>
  <c r="F552" i="15"/>
  <c r="F103" i="12" s="1"/>
  <c r="F245" i="10"/>
  <c r="F592" i="15" l="1"/>
  <c r="F584" i="15"/>
  <c r="F109" i="12" s="1"/>
  <c r="F558" i="15"/>
  <c r="F104" i="12" s="1"/>
  <c r="F9" i="12"/>
  <c r="F55" i="12"/>
  <c r="F8" i="12"/>
  <c r="F7" i="12"/>
  <c r="F597" i="15" l="1"/>
  <c r="F589" i="15"/>
  <c r="F110" i="12" s="1"/>
  <c r="F58" i="12"/>
  <c r="F602" i="15" l="1"/>
  <c r="F594" i="15"/>
  <c r="F111" i="12" s="1"/>
  <c r="F607" i="15" l="1"/>
  <c r="F599" i="15"/>
  <c r="F112" i="12" s="1"/>
  <c r="F612" i="15" l="1"/>
  <c r="F604" i="15"/>
  <c r="F113" i="12" s="1"/>
  <c r="I95" i="10"/>
  <c r="N95" i="10"/>
  <c r="K95" i="10"/>
  <c r="M95" i="10"/>
  <c r="J95" i="10"/>
  <c r="L95" i="10"/>
  <c r="C120" i="2"/>
  <c r="C119" i="2"/>
  <c r="K119" i="2" s="1"/>
  <c r="K121" i="2"/>
  <c r="K116" i="2"/>
  <c r="C108" i="2"/>
  <c r="H108" i="2" s="1"/>
  <c r="C107" i="2"/>
  <c r="H107" i="2" s="1"/>
  <c r="C106" i="2"/>
  <c r="H106" i="2" s="1"/>
  <c r="C105" i="2"/>
  <c r="H105" i="2" s="1"/>
  <c r="C104" i="2"/>
  <c r="H104" i="2" s="1"/>
  <c r="C103" i="2"/>
  <c r="H10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I56" i="2"/>
  <c r="J56" i="2" s="1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I64" i="2"/>
  <c r="J64" i="2" s="1"/>
  <c r="I65" i="2"/>
  <c r="J65" i="2" s="1"/>
  <c r="I66" i="2"/>
  <c r="J66" i="2" s="1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73" i="2"/>
  <c r="J73" i="2" s="1"/>
  <c r="I74" i="2"/>
  <c r="J74" i="2" s="1"/>
  <c r="I75" i="2"/>
  <c r="J75" i="2" s="1"/>
  <c r="I76" i="2"/>
  <c r="J76" i="2" s="1"/>
  <c r="I77" i="2"/>
  <c r="J77" i="2" s="1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J85" i="2"/>
  <c r="J88" i="2"/>
  <c r="J89" i="2"/>
  <c r="J90" i="2"/>
  <c r="J91" i="2"/>
  <c r="J92" i="2"/>
  <c r="J93" i="2"/>
  <c r="I43" i="2"/>
  <c r="J43" i="2" s="1"/>
  <c r="J95" i="2" l="1"/>
  <c r="H109" i="2"/>
  <c r="K120" i="2"/>
  <c r="K117" i="2"/>
  <c r="K122" i="2" s="1"/>
  <c r="F617" i="15"/>
  <c r="F609" i="15"/>
  <c r="F114" i="12" s="1"/>
  <c r="J37" i="2"/>
  <c r="H93" i="17" l="1"/>
  <c r="H96" i="17" s="1"/>
  <c r="G93" i="17"/>
  <c r="G96" i="17" s="1"/>
  <c r="J93" i="17"/>
  <c r="J96" i="17" s="1"/>
  <c r="K93" i="17"/>
  <c r="K96" i="17" s="1"/>
  <c r="I93" i="17"/>
  <c r="I96" i="17" s="1"/>
  <c r="J96" i="2"/>
  <c r="J97" i="2"/>
  <c r="K123" i="2"/>
  <c r="H110" i="2"/>
  <c r="F622" i="15"/>
  <c r="F619" i="15" s="1"/>
  <c r="F116" i="12" s="1"/>
  <c r="F614" i="15"/>
  <c r="F115" i="12" s="1"/>
  <c r="I116" i="17" l="1"/>
  <c r="I98" i="17"/>
  <c r="G116" i="17"/>
  <c r="G98" i="17"/>
  <c r="G101" i="17" s="1"/>
  <c r="K116" i="17"/>
  <c r="K98" i="17"/>
  <c r="J116" i="17"/>
  <c r="J98" i="17"/>
  <c r="H116" i="17"/>
  <c r="H101" i="17"/>
  <c r="G150" i="12"/>
  <c r="G152" i="12" s="1"/>
  <c r="J101" i="17" l="1"/>
  <c r="K101" i="17"/>
  <c r="H102" i="17"/>
  <c r="H103" i="17" s="1"/>
  <c r="G102" i="17"/>
  <c r="G103" i="17" s="1"/>
  <c r="I101" i="17"/>
  <c r="H107" i="17" l="1"/>
  <c r="H105" i="17"/>
  <c r="H106" i="17"/>
  <c r="G107" i="17"/>
  <c r="G106" i="17"/>
  <c r="G105" i="17"/>
  <c r="K102" i="17"/>
  <c r="K103" i="17" s="1"/>
  <c r="I102" i="17"/>
  <c r="I103" i="17" s="1"/>
  <c r="J102" i="17"/>
  <c r="J103" i="17" s="1"/>
  <c r="H108" i="17" l="1"/>
  <c r="H117" i="17" s="1"/>
  <c r="H118" i="17" s="1"/>
  <c r="G108" i="17"/>
  <c r="G117" i="17" s="1"/>
  <c r="G118" i="17" s="1"/>
  <c r="G122" i="17" s="1"/>
  <c r="K106" i="17"/>
  <c r="K105" i="17"/>
  <c r="K107" i="17"/>
  <c r="I105" i="17"/>
  <c r="I106" i="17"/>
  <c r="I107" i="17"/>
  <c r="J105" i="17"/>
  <c r="J106" i="17"/>
  <c r="J107" i="17"/>
  <c r="K108" i="17" l="1"/>
  <c r="K117" i="17" s="1"/>
  <c r="K118" i="17" s="1"/>
  <c r="K122" i="17" s="1"/>
  <c r="F123" i="17" s="1"/>
  <c r="F131" i="17" s="1"/>
  <c r="J108" i="17"/>
  <c r="J117" i="17" s="1"/>
  <c r="J118" i="17" s="1"/>
  <c r="J122" i="17" s="1"/>
  <c r="I108" i="17"/>
  <c r="I117" i="17" s="1"/>
  <c r="I118" i="17" s="1"/>
  <c r="I122" i="17" s="1"/>
  <c r="F124" i="17" l="1"/>
  <c r="M131" i="17" l="1"/>
  <c r="B7" i="18" s="1"/>
  <c r="C7" i="18" s="1"/>
  <c r="C13" i="18" s="1"/>
  <c r="C14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Gerusa de Paula Vaz</author>
  </authors>
  <commentList>
    <comment ref="H650" authorId="0" shapeId="0" xr:uid="{4826E237-0194-4C54-9CD9-A4C6F4DDCFA6}">
      <text>
        <r>
          <rPr>
            <b/>
            <sz val="9"/>
            <color indexed="81"/>
            <rFont val="Segoe UI"/>
            <family val="2"/>
          </rPr>
          <t>Gerusa de Paula Vaz:</t>
        </r>
        <r>
          <rPr>
            <sz val="9"/>
            <color indexed="81"/>
            <rFont val="Segoe UI"/>
            <family val="2"/>
          </rPr>
          <t xml:space="preserve">
Contrato 2023/0116
https://www6g.senado.gov.br/transparencia/licitacoes-e-contratos/contratos/download/335030</t>
        </r>
      </text>
    </comment>
    <comment ref="I650" authorId="0" shapeId="0" xr:uid="{14362E0A-9523-4F94-A107-9EA13E733184}">
      <text>
        <r>
          <rPr>
            <b/>
            <sz val="9"/>
            <color indexed="81"/>
            <rFont val="Segoe UI"/>
            <family val="2"/>
          </rPr>
          <t>Gerusa de Paula Vaz:</t>
        </r>
        <r>
          <rPr>
            <sz val="9"/>
            <color indexed="81"/>
            <rFont val="Segoe UI"/>
            <family val="2"/>
          </rPr>
          <t xml:space="preserve">
Contrato 10/2022
https://www.cnmp.mp.br/portal/transparencia/contratos/contrato/231
</t>
        </r>
      </text>
    </comment>
    <comment ref="J650" authorId="0" shapeId="0" xr:uid="{EEB335B9-4905-4B84-8B8B-E34C2453871B}">
      <text>
        <r>
          <rPr>
            <b/>
            <sz val="9"/>
            <color indexed="81"/>
            <rFont val="Segoe UI"/>
            <family val="2"/>
          </rPr>
          <t>Gerusa de Paula Vaz:</t>
        </r>
        <r>
          <rPr>
            <sz val="9"/>
            <color indexed="81"/>
            <rFont val="Segoe UI"/>
            <family val="2"/>
          </rPr>
          <t xml:space="preserve">
Contrato 014/2019 e Tas
https://aplicacao7.tst.jus.br/sacwebcp/DetalhesContrato.do?detalharContrato=1&amp;anoContrato=2019&amp;numContrato=155</t>
        </r>
      </text>
    </comment>
    <comment ref="K650" authorId="0" shapeId="0" xr:uid="{90035A6C-CFF7-454D-B7E3-C73826790561}">
      <text>
        <r>
          <rPr>
            <b/>
            <sz val="9"/>
            <color indexed="81"/>
            <rFont val="Segoe UI"/>
            <family val="2"/>
          </rPr>
          <t>Gerusa de Paula Vaz:</t>
        </r>
        <r>
          <rPr>
            <sz val="9"/>
            <color indexed="81"/>
            <rFont val="Segoe UI"/>
            <family val="2"/>
          </rPr>
          <t xml:space="preserve">
Contrato 14/2023
https://transparencia.stf.jus.br/single/?appid=7e51966e-e9f2-4337-8009-e5af3eb96e89&amp;sheet=61568bb1-85d5-4013-84b0-125e9afae3a7&amp;theme=simplicity&amp;opt=ctxmenu</t>
        </r>
      </text>
    </comment>
  </commentList>
</comments>
</file>

<file path=xl/sharedStrings.xml><?xml version="1.0" encoding="utf-8"?>
<sst xmlns="http://schemas.openxmlformats.org/spreadsheetml/2006/main" count="4310" uniqueCount="1553">
  <si>
    <t>INSUMOS</t>
  </si>
  <si>
    <t>Descrição</t>
  </si>
  <si>
    <t>Quant Mensal</t>
  </si>
  <si>
    <t>unid</t>
  </si>
  <si>
    <t>Cotação de Preço</t>
  </si>
  <si>
    <t>Preço unitario médio</t>
  </si>
  <si>
    <t>Preço total</t>
  </si>
  <si>
    <t>Sinapi - código/preço</t>
  </si>
  <si>
    <t>Contrato PGR</t>
  </si>
  <si>
    <t>Compras.gov</t>
  </si>
  <si>
    <t>Aguarrás / querosene / thinner</t>
  </si>
  <si>
    <t>lt</t>
  </si>
  <si>
    <t>Fita veda rosca</t>
  </si>
  <si>
    <t>Álcool</t>
  </si>
  <si>
    <t>Arames diversos</t>
  </si>
  <si>
    <t>kg</t>
  </si>
  <si>
    <t>Colas diversas (branca/madeira/contato)</t>
  </si>
  <si>
    <t>Cola instantanea</t>
  </si>
  <si>
    <t>Cola tipo araldite</t>
  </si>
  <si>
    <t>Detergente</t>
  </si>
  <si>
    <t>Estopa</t>
  </si>
  <si>
    <t>Fita crepe</t>
  </si>
  <si>
    <t>Fita isolante</t>
  </si>
  <si>
    <t>Fita isolante auto fusão</t>
  </si>
  <si>
    <t>m</t>
  </si>
  <si>
    <t>Flanela</t>
  </si>
  <si>
    <t>Graxa</t>
  </si>
  <si>
    <t>Lixa</t>
  </si>
  <si>
    <t>WD 40 500ml ou similar</t>
  </si>
  <si>
    <t>Lona plástica</t>
  </si>
  <si>
    <t>m²</t>
  </si>
  <si>
    <t>Pano para limpeza</t>
  </si>
  <si>
    <t>Parafusos, buchas, porcas e arruelas diversas</t>
  </si>
  <si>
    <t>Pregos em geral</t>
  </si>
  <si>
    <t>Rebites</t>
  </si>
  <si>
    <t>Removedor em pasta</t>
  </si>
  <si>
    <t>Rodo e vassoura</t>
  </si>
  <si>
    <t xml:space="preserve">Balde </t>
  </si>
  <si>
    <t>Silicone de vedação</t>
  </si>
  <si>
    <t>Conectores/terminais</t>
  </si>
  <si>
    <t>Tinta acrílica lavável branca</t>
  </si>
  <si>
    <t>Fita zebrada</t>
  </si>
  <si>
    <t>rl</t>
  </si>
  <si>
    <t>CONECTOR FEMEA RJ - 45, CATEGORIA 6</t>
  </si>
  <si>
    <t>CONECTOR MACHO RJ - 45, CATEGORIA 6</t>
  </si>
  <si>
    <t>Fita para etiquetadora</t>
  </si>
  <si>
    <t>Valor total mensal estimado</t>
  </si>
  <si>
    <t>Valor unitário mensal por profissional (5)</t>
  </si>
  <si>
    <t>FERRAMENTAS/EQUIPAMENTOS</t>
  </si>
  <si>
    <t>Quantidade</t>
  </si>
  <si>
    <t>Contrato CLDF</t>
  </si>
  <si>
    <t>Contrato CNJ</t>
  </si>
  <si>
    <t>Contrato TCU</t>
  </si>
  <si>
    <t>Sinapi</t>
  </si>
  <si>
    <t xml:space="preserve">Alicate de corte </t>
  </si>
  <si>
    <t>Alicate de pressão 10</t>
  </si>
  <si>
    <t>Alicate cortador e desencapador de fio</t>
  </si>
  <si>
    <t>Alicate crimpador RJ11 e RJ45 com trava de catraca – rede</t>
  </si>
  <si>
    <t>Alicate para prensar terminais p/ fios e cabos 0,5 - 10mm</t>
  </si>
  <si>
    <t>Alicate bico de pagagaio</t>
  </si>
  <si>
    <t>Alicate universal</t>
  </si>
  <si>
    <t>Maleta p/ ferramentas grande com divisórias</t>
  </si>
  <si>
    <t>Carrinho de mão</t>
  </si>
  <si>
    <t>Chave de fenda ¼ x 6”</t>
  </si>
  <si>
    <t>Chave fenda 3/16 x 4</t>
  </si>
  <si>
    <t>Chave philips 1/8 x 3</t>
  </si>
  <si>
    <t>Chave philips 3/16 x 4</t>
  </si>
  <si>
    <t>Chave phillips  3/16 x 3”</t>
  </si>
  <si>
    <t>Chave phillips ¼ x 5”</t>
  </si>
  <si>
    <t>Jogo de chaves de boca, 6 a 22mm</t>
  </si>
  <si>
    <t>Chaves de grifo n° 10</t>
  </si>
  <si>
    <t>Chaves de grifo n° 14</t>
  </si>
  <si>
    <t>Escada de alumínio de 6 degraus</t>
  </si>
  <si>
    <t>Escada de alumínio de 10 degraus</t>
  </si>
  <si>
    <t>Estilete (cartucho com 10 lâminas)</t>
  </si>
  <si>
    <t>Furadeira elétrica profissional</t>
  </si>
  <si>
    <t>Jogo de broca de A/R 1/16" a /14" din wonder ou similar</t>
  </si>
  <si>
    <t>Jogo de chave ALLEN 1,5mm à 10mm.</t>
  </si>
  <si>
    <t>Parafusadeira elétrica</t>
  </si>
  <si>
    <t>Jogo de chave hexagonal de 1/16 a 3/8</t>
  </si>
  <si>
    <t>Jogo de chaves Tork reta de T4 à T30</t>
  </si>
  <si>
    <t>Jogo de chaves combinadas 6 à 32mm</t>
  </si>
  <si>
    <t>Lanterna grande</t>
  </si>
  <si>
    <t>Colher de pedreiro</t>
  </si>
  <si>
    <t>Desempenadeira de alumínio para aplicação de rejunte</t>
  </si>
  <si>
    <t>Enxada</t>
  </si>
  <si>
    <t>Esquadro</t>
  </si>
  <si>
    <t>Nivel de bolha</t>
  </si>
  <si>
    <t>Prumo</t>
  </si>
  <si>
    <t>Lima chata</t>
  </si>
  <si>
    <t>Martelo</t>
  </si>
  <si>
    <t>Pincel</t>
  </si>
  <si>
    <t>Desentupidor de esgotos, pias, ralos e banheiras</t>
  </si>
  <si>
    <t>Serra mármore (tipo makita)</t>
  </si>
  <si>
    <t>Aspirador portátil profissional</t>
  </si>
  <si>
    <t>Alicate volt-amperímetro</t>
  </si>
  <si>
    <t>Trena, 5m</t>
  </si>
  <si>
    <t>Trena, 10m</t>
  </si>
  <si>
    <t>Trena a laser</t>
  </si>
  <si>
    <t>Testador de cabo de rede  RJ11e RJ45</t>
  </si>
  <si>
    <t>Ferro de solda ponta fina</t>
  </si>
  <si>
    <t>Máquina de Solda</t>
  </si>
  <si>
    <t>Termovisor</t>
  </si>
  <si>
    <t>Par de ventosas dupla até 50 kg</t>
  </si>
  <si>
    <t>Rotulador / etiquetador eletronio, lcd, no minimo 16 caracteres e 2 linhas, para impressão em fita auto colante</t>
  </si>
  <si>
    <t>Relógio biometrico</t>
  </si>
  <si>
    <t>Valor total das ferrramentas</t>
  </si>
  <si>
    <t>UNIFORMES</t>
  </si>
  <si>
    <t>Qtd anual</t>
  </si>
  <si>
    <t>Contrato Confea</t>
  </si>
  <si>
    <t>Camisa de botão manga curta</t>
  </si>
  <si>
    <t>Calça comprida tipo “jeans”</t>
  </si>
  <si>
    <t>Botina com sola de borracha</t>
  </si>
  <si>
    <t>Meia</t>
  </si>
  <si>
    <t>Jaleco em brim</t>
  </si>
  <si>
    <t>Camisa gola polo</t>
  </si>
  <si>
    <t>Total anual</t>
  </si>
  <si>
    <t>Total mensal por funcionário</t>
  </si>
  <si>
    <t>EPI</t>
  </si>
  <si>
    <t>Qtd  anual</t>
  </si>
  <si>
    <t>Preço total
ANUAL</t>
  </si>
  <si>
    <t>Sinapi - código / preço</t>
  </si>
  <si>
    <t>Cinto de segurança</t>
  </si>
  <si>
    <t>Luva de proteção isolante</t>
  </si>
  <si>
    <t>Luva de raspa couro</t>
  </si>
  <si>
    <t>Luva tátil</t>
  </si>
  <si>
    <t>Óculos de proteção</t>
  </si>
  <si>
    <t>Protetor auricular tipo plug</t>
  </si>
  <si>
    <t>Mascara protetora poeira</t>
  </si>
  <si>
    <t>MANUTENÇÃO CORRETIVA</t>
  </si>
  <si>
    <t>METERIAIS DE REPOSIÇÃO</t>
  </si>
  <si>
    <t>PESQUISA DE PREÇO</t>
  </si>
  <si>
    <t>CÓDIGO
Sinapi</t>
  </si>
  <si>
    <t>ESPECIFICAÇÃO</t>
  </si>
  <si>
    <t>QTDE</t>
  </si>
  <si>
    <t>UNID</t>
  </si>
  <si>
    <t xml:space="preserve">Preço Unitário </t>
  </si>
  <si>
    <t>Preço Total</t>
  </si>
  <si>
    <t>TIPO</t>
  </si>
  <si>
    <t>2.1</t>
  </si>
  <si>
    <t>11696</t>
  </si>
  <si>
    <t>Cuba de sobrepor oval branca DECA L 65</t>
  </si>
  <si>
    <t>ARQUITETURA</t>
  </si>
  <si>
    <t>2.2</t>
  </si>
  <si>
    <t>10431</t>
  </si>
  <si>
    <t>Lavatório com coluna suspensa de louça branca deca modelo vogue plus L51 CS1v</t>
  </si>
  <si>
    <t>2.3</t>
  </si>
  <si>
    <t>20271</t>
  </si>
  <si>
    <t>Tanque grande branco com coluna Deca TQ03</t>
  </si>
  <si>
    <t>2.4</t>
  </si>
  <si>
    <t>36796</t>
  </si>
  <si>
    <t xml:space="preserve">TORNEIRA CROMADA DE MESA PARA LAVATORIO TEMPORIZADA PRESSAO BICA BAIXA </t>
  </si>
  <si>
    <t>2.5</t>
  </si>
  <si>
    <t>0377</t>
  </si>
  <si>
    <t>ASSENTO SANITARIO DE PLASTICO, TIPO CONVENCIONAL</t>
  </si>
  <si>
    <t>2.6</t>
  </si>
  <si>
    <t>1747</t>
  </si>
  <si>
    <t>CUBA para cozinha retangular em AÇO INOX, 400 x 340 mm, com 170mm de profundidade</t>
  </si>
  <si>
    <t>2.7</t>
  </si>
  <si>
    <t>11762</t>
  </si>
  <si>
    <t>Torneira cromada curta sem arejador ½” para jardim</t>
  </si>
  <si>
    <t>2.8</t>
  </si>
  <si>
    <t>36792</t>
  </si>
  <si>
    <t>Torneira para tanque de parede Ref: Deca MAX 1153.C34</t>
  </si>
  <si>
    <t>2.9</t>
  </si>
  <si>
    <t>11772</t>
  </si>
  <si>
    <t xml:space="preserve">Torneira copa e cozinha - DE MESA/BANCADA, PARA COZINHA, BICA MOVEL, COM AREJADOR, 1/2 " OU 3/4 </t>
  </si>
  <si>
    <t>2.10</t>
  </si>
  <si>
    <t>SIFAO EM METAL CROMADO PARA PIA OU LAVATORIO, 1 X 1.1/2</t>
  </si>
  <si>
    <t>2.11</t>
  </si>
  <si>
    <t>SIFAO EM METAL CROMADO PARA TANQUE, 1.1/4 X 1.1/2</t>
  </si>
  <si>
    <t>2.12</t>
  </si>
  <si>
    <t>Mola hidráulica aérea para instalação em portas de madeira. Ref: Mola modelo MA 200, marca Dorma.</t>
  </si>
  <si>
    <t>2.13</t>
  </si>
  <si>
    <r>
      <t>Placa de carpete 60x60 instalada em fibra 100</t>
    </r>
    <r>
      <rPr>
        <strike/>
        <sz val="12"/>
        <rFont val="Times New Roman"/>
        <family val="1"/>
      </rPr>
      <t xml:space="preserve">% </t>
    </r>
    <r>
      <rPr>
        <sz val="12"/>
        <rFont val="Times New Roman"/>
        <family val="1"/>
      </rPr>
      <t xml:space="preserve"> nylon , fio bouclê, na cor padrão do plenario</t>
    </r>
  </si>
  <si>
    <t>2.14</t>
  </si>
  <si>
    <t>pesquisa</t>
  </si>
  <si>
    <t>Caixa de comando Deca 1180 para torneiras automaticas de banheiro</t>
  </si>
  <si>
    <t>2.15</t>
  </si>
  <si>
    <t>Caixa de comando caixa/sensor para mictório 2580 Deca</t>
  </si>
  <si>
    <t>2.16</t>
  </si>
  <si>
    <t>Silicone de uso geral 280g</t>
  </si>
  <si>
    <t>2.17</t>
  </si>
  <si>
    <t>orse 12729</t>
  </si>
  <si>
    <t>Piso tátil pinado, em ABS revestido de inox, 100pç por metro</t>
  </si>
  <si>
    <t>CLDF</t>
  </si>
  <si>
    <t>2.18</t>
  </si>
  <si>
    <t>Conjunto de Fechadura cromada para porta interna de madeira, no padrão da existente, Lafonte ref 515</t>
  </si>
  <si>
    <t>2.19</t>
  </si>
  <si>
    <t>Conjunto de Fechadura de porta de madeira preta ref La fonte 6521</t>
  </si>
  <si>
    <t>2.20</t>
  </si>
  <si>
    <t>PLACA DE FIBRA MINERAL PARA FORRO, DE 625 X 625 MM, E = 15 MM</t>
  </si>
  <si>
    <t>2.21</t>
  </si>
  <si>
    <t>Engate flexivel inox 1/2 x 40cm</t>
  </si>
  <si>
    <t>HIDRAULICA</t>
  </si>
  <si>
    <t>2.22</t>
  </si>
  <si>
    <t>MERCADO</t>
  </si>
  <si>
    <t>BOMBAS RECALQUE - Ref: Dancor S.A. - Modelo: 10110630 630 T JM - Mod: PB 100 L2/NM – 5CV,  Norma - Nema MG1-18.614 - JM, Rotação: 2 polos - 3.450 rpm - 60 Hz, Trifásico: 220/380V, IP 55, isolamento classe B (ou similar)</t>
  </si>
  <si>
    <t>2.23</t>
  </si>
  <si>
    <t>BOMBA PRESSURIZAÇÃO - Fabricante: Schneider Motobombas - BCR – 2000V 1CV mono 60Hz 220V - 3450rpm, Motor elétrico: IP-00 com capa de proteção, termostato e capacitor permanente, 2 Polos, 60 Hz - ou similar</t>
  </si>
  <si>
    <t>2.24</t>
  </si>
  <si>
    <t>BOMBA CASCATA - Fabricante: Jacuzzi do Brasil - Modelo: 3DM1-T – 3CV - ou similar</t>
  </si>
  <si>
    <t>2.25</t>
  </si>
  <si>
    <t>BOMBA FILTRO CASCATA - Fabricante: WEG - Bomba com pré filtro série APP - 1/2CV – 3470rpm – 60Hz, 2 polos – isolamento: F IP 21 - ou simlar</t>
  </si>
  <si>
    <t>2.26</t>
  </si>
  <si>
    <t>BOMBA PARA ESGOTAMENTO DE POÇO DE ESGOTO. Referência: WEG jacaré 220/380V, 3CV, robusta- ou similar</t>
  </si>
  <si>
    <t>2.27</t>
  </si>
  <si>
    <t>Bomba de esgotamento de poço de aguas pluviais, tipo sub dreno (SDE) 3hp, monobloco, vertical, carcaça com ralo de aspiração incorporado, motor com 2 polos, 3450rpm. Ref: Dancor 2303 - ou similar</t>
  </si>
  <si>
    <t>2.28</t>
  </si>
  <si>
    <t>orse 04859</t>
  </si>
  <si>
    <t>Botao de acionamento manual caixa acoplada Deca branco</t>
  </si>
  <si>
    <t>2.29</t>
  </si>
  <si>
    <t>TAMPAO FOFO SIMPLES COM BASE, CLASSE A15 CARGA MAX 1,5 T, 400 X 600 MM (COM INSCRICAO EM RELEVO DO TIPO DE REDE)</t>
  </si>
  <si>
    <t>2.30</t>
  </si>
  <si>
    <t>37527</t>
  </si>
  <si>
    <t>Mangueira 1 ½” 15m tipo 2</t>
  </si>
  <si>
    <t>INCÊNDIO</t>
  </si>
  <si>
    <t>2.31</t>
  </si>
  <si>
    <t>Registro de gaveta bruto 2 1/2".</t>
  </si>
  <si>
    <t>2.32</t>
  </si>
  <si>
    <t>Esguicho de neblina regulável, confeccionado em bronze ASTM-B-62. Diâmetro 1 1/2". Dotado de 3 posições: fechado, jato sólido e neblina fina</t>
  </si>
  <si>
    <t>2.33</t>
  </si>
  <si>
    <t>Bicos de Sprinkler Ø 1/2", temp. 68ºC, tipo tubo molhado, conforme padrão existente no edifício</t>
  </si>
  <si>
    <t>2.34</t>
  </si>
  <si>
    <t>Dobradiça porta corta fogo  no padrão das atuais</t>
  </si>
  <si>
    <t>2.35</t>
  </si>
  <si>
    <t>Lâmpada LED bulbo 10W bivolt E27 branca 6000k</t>
  </si>
  <si>
    <t>ELETRICA</t>
  </si>
  <si>
    <t>2.36</t>
  </si>
  <si>
    <t>Lâmpadas tubular led T5 18w 6500k 1200mm – Base G-13</t>
  </si>
  <si>
    <t>2.37</t>
  </si>
  <si>
    <t>Superled ar-111 85-265v 11w refletora gu-10 6500k - base gu-10</t>
  </si>
  <si>
    <t>2.38</t>
  </si>
  <si>
    <t>Lâmpada led ar-70 85-265v 7w refletora 6500k – base gu-10</t>
  </si>
  <si>
    <t>2.39</t>
  </si>
  <si>
    <t>Lâmpada tubular led T8 9,5W 6500K 600MM (UL) – Base G13</t>
  </si>
  <si>
    <t>2.40</t>
  </si>
  <si>
    <t>Lâmpada PAR 20 LED cor branca para uso externo - 220V – equivalência 50W - E27</t>
  </si>
  <si>
    <t>2.41</t>
  </si>
  <si>
    <t>Lâmpada Eletrônica espiral 85w x 220v – Base 27</t>
  </si>
  <si>
    <t>2.42</t>
  </si>
  <si>
    <t>Lâmpada led halopin silic g- 9 86-240v 3w 6500k– base g9</t>
  </si>
  <si>
    <t>2.43</t>
  </si>
  <si>
    <t>Lâmpada Tubular Led T8 18W 6500K 1200MM - Base G13 – vida útil de 3000horas – branco frio</t>
  </si>
  <si>
    <t>2.44</t>
  </si>
  <si>
    <t>Refletor de embutir série LED POLL L48, com potência equivalente a 4W e baixo consumo de energia. Referência: SODRAMAR</t>
  </si>
  <si>
    <t>2.45</t>
  </si>
  <si>
    <t>PROJETOR SUPERLED 30W 6500K IP-65 SLIM N.L</t>
  </si>
  <si>
    <t>2.46</t>
  </si>
  <si>
    <t>Lâmpada par38 led 15W branca</t>
  </si>
  <si>
    <t>2.47</t>
  </si>
  <si>
    <t>Painéis de LED EMB. QD. 60X60 LISO 6000K 24W</t>
  </si>
  <si>
    <t>2.48</t>
  </si>
  <si>
    <t>Luminária de embutir para jardim par 38 led</t>
  </si>
  <si>
    <t>2.49</t>
  </si>
  <si>
    <t>Mini balizador para jardim led 1W 3000k bivolt</t>
  </si>
  <si>
    <t>2.50</t>
  </si>
  <si>
    <t>Sinaleiro duplo 24 leds bivolt para sinalização de entrada e saída de garagem</t>
  </si>
  <si>
    <t>2.51</t>
  </si>
  <si>
    <t>Lâmpada luz mista 250 watts base E27</t>
  </si>
  <si>
    <t>2.52</t>
  </si>
  <si>
    <t xml:space="preserve">Lâmpada dicroica de 50 watts tensâo 220V </t>
  </si>
  <si>
    <t>2.53</t>
  </si>
  <si>
    <t>Lampada incandescente de 40 watts base E27</t>
  </si>
  <si>
    <t>2.54</t>
  </si>
  <si>
    <t>Lâmpada Halógena 100W base e27</t>
  </si>
  <si>
    <t>2.55</t>
  </si>
  <si>
    <t>Filme gelatina colorida 50 x 60 cm esp 3mm para iluminação</t>
  </si>
  <si>
    <t>2.56</t>
  </si>
  <si>
    <t xml:space="preserve">Válvula solenoide c/ rosca 3/4 </t>
  </si>
  <si>
    <t>2.57</t>
  </si>
  <si>
    <t>orse 9162</t>
  </si>
  <si>
    <t>Protetor contra surto modelo PQS 220 - DPS classe II/III com desacoplador térmico interno 15kA</t>
  </si>
  <si>
    <t>2.58</t>
  </si>
  <si>
    <t>39394</t>
  </si>
  <si>
    <t>Sensor de presença bivolt, automático, de sobrepor, 500W, alcance mínimo de 10m, ângulo de atuação de 100º, ajuste de tempo e sensibilidade.</t>
  </si>
  <si>
    <t>2.59</t>
  </si>
  <si>
    <t>39599</t>
  </si>
  <si>
    <t>Cabos UTP categoria 6E CSU-4P 4 pares Furukawa</t>
  </si>
  <si>
    <t>2.60</t>
  </si>
  <si>
    <t>39601</t>
  </si>
  <si>
    <t>2.61</t>
  </si>
  <si>
    <t>39603</t>
  </si>
  <si>
    <t>2.62</t>
  </si>
  <si>
    <t>1014</t>
  </si>
  <si>
    <t>Cabo flexível 750v/70°C/nbr-6148  2,5mm²</t>
  </si>
  <si>
    <t>2.63</t>
  </si>
  <si>
    <t>981</t>
  </si>
  <si>
    <t>Cabo flexível 750v/70°C/nbr-6148  4,0mm²</t>
  </si>
  <si>
    <t>2.64</t>
  </si>
  <si>
    <t>34618</t>
  </si>
  <si>
    <t>Cabo PP 750v/70°C/nbr-7288 3x1,5mm²</t>
  </si>
  <si>
    <t>2.65</t>
  </si>
  <si>
    <t>34621</t>
  </si>
  <si>
    <t>Cabo PP 750V/70º C/NBR 13249 3 x 4.0mm² PRYSMIAN</t>
  </si>
  <si>
    <t>2.66</t>
  </si>
  <si>
    <t>1368</t>
  </si>
  <si>
    <t>Chuveiro 5400W</t>
  </si>
  <si>
    <t>2.67</t>
  </si>
  <si>
    <t>39451</t>
  </si>
  <si>
    <t>Dipsositivo de proteção residual - DR Bipolar - 220V - 40A</t>
  </si>
  <si>
    <t>2.68</t>
  </si>
  <si>
    <t>39452</t>
  </si>
  <si>
    <t>Dipsositivo de proteção residual - DR Bipolar - 220V - 63A</t>
  </si>
  <si>
    <t>2.69</t>
  </si>
  <si>
    <t>2370</t>
  </si>
  <si>
    <t>Disjuntor SIEMENS DIN 20A</t>
  </si>
  <si>
    <t>2.70</t>
  </si>
  <si>
    <t>2386</t>
  </si>
  <si>
    <t>Disjuntor SIEMENS DIN 40A</t>
  </si>
  <si>
    <t>2.71</t>
  </si>
  <si>
    <t>2391</t>
  </si>
  <si>
    <t xml:space="preserve">Disjuntor Tripolar 100A </t>
  </si>
  <si>
    <t>2.72</t>
  </si>
  <si>
    <t>38068</t>
  </si>
  <si>
    <t>Interruptor de embutir 10A, 250V, 1-S, com placa, Fame</t>
  </si>
  <si>
    <t>2.73</t>
  </si>
  <si>
    <t>38081</t>
  </si>
  <si>
    <t>Interruptor de embutir 10A, 250V, 2-SS, com placa, Fame</t>
  </si>
  <si>
    <t>2.74</t>
  </si>
  <si>
    <t>38101</t>
  </si>
  <si>
    <t>Tomada 2P+T de embutir ou sobrepor 10A ref. Pial ou equivalente</t>
  </si>
  <si>
    <t>2.75</t>
  </si>
  <si>
    <t>38102</t>
  </si>
  <si>
    <t>Tomada 2P+T de embutir ou sobrepor 20A ref. Pial ou eequivalente</t>
  </si>
  <si>
    <t>2.76</t>
  </si>
  <si>
    <t>4226</t>
  </si>
  <si>
    <t>Gás GLP - P45</t>
  </si>
  <si>
    <t>DIVERSOS</t>
  </si>
  <si>
    <t>2.77</t>
  </si>
  <si>
    <t>Catraca tipo pedestal conforme especificação</t>
  </si>
  <si>
    <t>2.78</t>
  </si>
  <si>
    <t>Catraca PNE conforme especificação</t>
  </si>
  <si>
    <t>2.79</t>
  </si>
  <si>
    <t>Controlador de acesso com reconhecimento facial conforme especificação</t>
  </si>
  <si>
    <t>2.80</t>
  </si>
  <si>
    <t>Bateria VRLA 12V 7A, referência: intelbras XB1270</t>
  </si>
  <si>
    <t>2.81</t>
  </si>
  <si>
    <t>Módulo SFP 1GE SX 850NM, 550m. Referência: furukawa</t>
  </si>
  <si>
    <t>VALOR ESTIMADO - 12 MESES</t>
  </si>
  <si>
    <t>BDI reduzido</t>
  </si>
  <si>
    <t>VALOR TOTAL ESTIMADO - 12 MESES</t>
  </si>
  <si>
    <t>SERVIÇOS EVENTUAIS</t>
  </si>
  <si>
    <t xml:space="preserve">Item </t>
  </si>
  <si>
    <t>CÓDIGO</t>
  </si>
  <si>
    <t>Unidade</t>
  </si>
  <si>
    <t>Quantidade estimada
anual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</si>
  <si>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</si>
  <si>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</si>
  <si>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</si>
  <si>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</si>
  <si>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</si>
  <si>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</si>
  <si>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</si>
  <si>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</si>
  <si>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</si>
  <si>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</si>
  <si>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</si>
  <si>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</si>
  <si>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</si>
  <si>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</si>
  <si>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</si>
  <si>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</si>
  <si>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</si>
  <si>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</si>
  <si>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</si>
  <si>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</si>
  <si>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</si>
  <si>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</si>
  <si>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</si>
  <si>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</si>
  <si>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</si>
  <si>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</si>
  <si>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</si>
  <si>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</si>
  <si>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</si>
  <si>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</si>
  <si>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</si>
  <si>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</si>
  <si>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</si>
  <si>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</si>
  <si>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</si>
  <si>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</si>
  <si>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</si>
  <si>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</si>
  <si>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</si>
  <si>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</si>
  <si>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</si>
  <si>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</si>
  <si>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</si>
  <si>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</si>
  <si>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</si>
  <si>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t>3.46</t>
  </si>
  <si>
    <t>3.47</t>
  </si>
  <si>
    <t>3.48</t>
  </si>
  <si>
    <t>3.49</t>
  </si>
  <si>
    <t>3.50</t>
  </si>
  <si>
    <t>3.51</t>
  </si>
  <si>
    <t>3.52</t>
  </si>
  <si>
    <t>3.53</t>
  </si>
  <si>
    <t>3.54</t>
  </si>
  <si>
    <t>3.55</t>
  </si>
  <si>
    <t>3.56</t>
  </si>
  <si>
    <t>3.57</t>
  </si>
  <si>
    <t>3.58</t>
  </si>
  <si>
    <t>3.59</t>
  </si>
  <si>
    <t>3.60</t>
  </si>
  <si>
    <t>3.61</t>
  </si>
  <si>
    <t>3.62</t>
  </si>
  <si>
    <t>3.63</t>
  </si>
  <si>
    <t>3.64</t>
  </si>
  <si>
    <t>3.65</t>
  </si>
  <si>
    <t>3.66</t>
  </si>
  <si>
    <t>3.67</t>
  </si>
  <si>
    <t>3.68</t>
  </si>
  <si>
    <t>3.69</t>
  </si>
  <si>
    <t>3.70</t>
  </si>
  <si>
    <t>3.71</t>
  </si>
  <si>
    <t>3.72</t>
  </si>
  <si>
    <t>3.73</t>
  </si>
  <si>
    <t>3.74</t>
  </si>
  <si>
    <t>3.75</t>
  </si>
  <si>
    <t>3.76</t>
  </si>
  <si>
    <t>3.77</t>
  </si>
  <si>
    <t>3.78</t>
  </si>
  <si>
    <t>3.79</t>
  </si>
  <si>
    <t>3.80</t>
  </si>
  <si>
    <t>3.81</t>
  </si>
  <si>
    <t>3.82</t>
  </si>
  <si>
    <t>3.83</t>
  </si>
  <si>
    <t>3.84</t>
  </si>
  <si>
    <t>3.85</t>
  </si>
  <si>
    <t>REVISAO SISTEMA DE INCENDIO CONFORME PROJETO APROVADO</t>
  </si>
  <si>
    <t>3.86</t>
  </si>
  <si>
    <t>3.87</t>
  </si>
  <si>
    <t>3.88</t>
  </si>
  <si>
    <t>3.89</t>
  </si>
  <si>
    <t>3.90</t>
  </si>
  <si>
    <t>3.91</t>
  </si>
  <si>
    <t>3.92</t>
  </si>
  <si>
    <t>3.93</t>
  </si>
  <si>
    <t>3.94</t>
  </si>
  <si>
    <t>3.95</t>
  </si>
  <si>
    <t>3.96</t>
  </si>
  <si>
    <t>3.97</t>
  </si>
  <si>
    <t>3.98</t>
  </si>
  <si>
    <t>3.99</t>
  </si>
  <si>
    <t>3.100</t>
  </si>
  <si>
    <t>3.101</t>
  </si>
  <si>
    <t>3.102</t>
  </si>
  <si>
    <t>3.103</t>
  </si>
  <si>
    <t>3.104</t>
  </si>
  <si>
    <t>3.105</t>
  </si>
  <si>
    <t>3.106</t>
  </si>
  <si>
    <t>3.107</t>
  </si>
  <si>
    <t>3.108</t>
  </si>
  <si>
    <t>3.109</t>
  </si>
  <si>
    <t xml:space="preserve">BDI - </t>
  </si>
  <si>
    <t>Observações:</t>
  </si>
  <si>
    <t>1.      As quantidades previstas nessa planilha são meramente estimativas, que serão pagos à medida que forem executados, à medida que forem solicitados pela CONTRATANTE, a seu critério exclusivo.</t>
  </si>
  <si>
    <t>COMPOSIÇÕES DE PREÇO UNITÁRIO - CPU</t>
  </si>
  <si>
    <t>Cotação</t>
  </si>
  <si>
    <t>CLASSE/TIPO</t>
  </si>
  <si>
    <t>CÓDIGOS</t>
  </si>
  <si>
    <t>DESCRIÇÃO</t>
  </si>
  <si>
    <t>UNIDADE</t>
  </si>
  <si>
    <t>COEFICIENTE</t>
  </si>
  <si>
    <t>PREÇO UNITARIO</t>
  </si>
  <si>
    <t>97632</t>
  </si>
  <si>
    <t>DEMOLIÇÃO DE RODAPÉ CERÂMICO, DE FORMA MANUAL, SEM REAPROVEITAMENTO</t>
  </si>
  <si>
    <t>M</t>
  </si>
  <si>
    <t/>
  </si>
  <si>
    <t>COMPOSICAO</t>
  </si>
  <si>
    <t>88256</t>
  </si>
  <si>
    <t>AZULEJISTA OU LADRILHISTA COM ENCARGOS COMPLEMENTARES</t>
  </si>
  <si>
    <t>H</t>
  </si>
  <si>
    <t>0,0293000</t>
  </si>
  <si>
    <t>88316</t>
  </si>
  <si>
    <t>SERVENTE COM ENCARGOS COMPLEMENTARES</t>
  </si>
  <si>
    <t>0,0825000</t>
  </si>
  <si>
    <t>97633</t>
  </si>
  <si>
    <t>DEMOLIÇÃO DE REVESTIMENTO CERÂMICO, DE FORMA MANUAL, SEM REAPROVEITAMENTO</t>
  </si>
  <si>
    <t>M2</t>
  </si>
  <si>
    <t>0,2553000</t>
  </si>
  <si>
    <t>0,7195000</t>
  </si>
  <si>
    <t xml:space="preserve">Revestimento de piso, tipo porcelanato - 1º subsolo - vestiarios, salas técnicas, etc </t>
  </si>
  <si>
    <t>INSUMO</t>
  </si>
  <si>
    <t>34357</t>
  </si>
  <si>
    <t>REJUNTE CIMENTICIO, QUALQUER COR</t>
  </si>
  <si>
    <t>KG</t>
  </si>
  <si>
    <t>0,1400000</t>
  </si>
  <si>
    <t>37595</t>
  </si>
  <si>
    <t>ARGAMASSA COLANTE TIPO AC III</t>
  </si>
  <si>
    <t>8,6200000</t>
  </si>
  <si>
    <t>38195</t>
  </si>
  <si>
    <t>PISO PORCELANATO, BORDA RETA, EXTRA, FORMATO MAIOR QUE 2025 CM2</t>
  </si>
  <si>
    <t>1,0800000</t>
  </si>
  <si>
    <t>0,7000000</t>
  </si>
  <si>
    <t>0,2700000</t>
  </si>
  <si>
    <t>Piso de granito dourado carioca flameado / polido</t>
  </si>
  <si>
    <t>Granito dourado carioca flameado / polido 60 x 60cm esp.20mm para piso</t>
  </si>
  <si>
    <t>1,1600000</t>
  </si>
  <si>
    <t>34356</t>
  </si>
  <si>
    <t>REJUNTE BRANCO, CIMENTICIO</t>
  </si>
  <si>
    <t>ARGAMASSA COLANTE TIPO ACIII</t>
  </si>
  <si>
    <t>88274</t>
  </si>
  <si>
    <t>MARMORISTA/GRANITEIRO COM ENCARGOS COMPLEMENTARES</t>
  </si>
  <si>
    <t>1,1880000</t>
  </si>
  <si>
    <t>0,5940000</t>
  </si>
  <si>
    <t>Piso de Granito BRANCO POLAR flameado / polido</t>
  </si>
  <si>
    <t>Granito BRANCO POLAR flameado / polido 60 x 60cm esp.20mm para piso</t>
  </si>
  <si>
    <t>PRÓPRIA</t>
  </si>
  <si>
    <t>Revestimento em placa vinílica de 50cm x 50cm - pavimento tipo</t>
  </si>
  <si>
    <t>4791</t>
  </si>
  <si>
    <t>ADESIVO ACRILICO/COLA DE CONTATO</t>
  </si>
  <si>
    <t>0,0950000</t>
  </si>
  <si>
    <t>placa vinílica autoportante - Piso vinílico em placas, na medida de 60cm x 60cm, heterogêneo, autoportante, destinado ao tráfego comercial pesado, 3mm espessura. REF Forbo modelo LF 5703S ou similar superior</t>
  </si>
  <si>
    <t>1,1100000</t>
  </si>
  <si>
    <t>88309</t>
  </si>
  <si>
    <t>PEDREIRO COM ENCARGOS COMPLEMENTARES</t>
  </si>
  <si>
    <t>0,2610000</t>
  </si>
  <si>
    <t>0,1300000</t>
  </si>
  <si>
    <t>95276</t>
  </si>
  <si>
    <t>POLIDORA DE PISO (POLITRIZ), PESO DE 100KG, DIÂMETRO 450 MM, MOTOR ELÉTRICO, POTÊNCIA 4 HP - CHP DIURNO. AF_09/2016</t>
  </si>
  <si>
    <t>CHP</t>
  </si>
  <si>
    <t>0,0250000</t>
  </si>
  <si>
    <t>95277</t>
  </si>
  <si>
    <t>POLIDORA DE PISO (POLITRIZ), PESO DE 100KG, DIÂMETRO 450 MM, MOTOR ELÉTRICO, POTÊNCIA 4 HP - CHI DIURNO. AF_09/2016</t>
  </si>
  <si>
    <t>CHI</t>
  </si>
  <si>
    <t>0,2360000</t>
  </si>
  <si>
    <t>102494</t>
  </si>
  <si>
    <t>PINTURA DE PISO COM TINTA EPÓXI, APLICAÇÃO MANUAL, 2 DEMÃOS, INCLUSO PRIMER EPÓXI.</t>
  </si>
  <si>
    <t>5330</t>
  </si>
  <si>
    <t>DILUENTE EPOXI</t>
  </si>
  <si>
    <t>L</t>
  </si>
  <si>
    <t>0,0640000</t>
  </si>
  <si>
    <t>7304</t>
  </si>
  <si>
    <t>TINTA EPOXI BASE AGUA PREMIUM, BRANCA</t>
  </si>
  <si>
    <t>0,3220000</t>
  </si>
  <si>
    <t>12815</t>
  </si>
  <si>
    <t>FITA CREPE ROLO DE 25 MM X 50 M</t>
  </si>
  <si>
    <t>UN</t>
  </si>
  <si>
    <t>0,0100000</t>
  </si>
  <si>
    <t>44072</t>
  </si>
  <si>
    <t>PRIMER EPOXI / EPOXIDICO</t>
  </si>
  <si>
    <t>0,2016000</t>
  </si>
  <si>
    <t>88310</t>
  </si>
  <si>
    <t>PINTOR COM ENCARGOS COMPLEMENTARES</t>
  </si>
  <si>
    <t>0,2750000</t>
  </si>
  <si>
    <t>0,1150000</t>
  </si>
  <si>
    <t>102496</t>
  </si>
  <si>
    <t>PINTURA DE RODAPÉ COM TINTA EPÓXI, APLICAÇÃO MANUAL, 2 DEMÃOS, INCLUSÃO PRIMER EPÓXI</t>
  </si>
  <si>
    <t>0,0110000</t>
  </si>
  <si>
    <t>0,0530000</t>
  </si>
  <si>
    <t>0,0200000</t>
  </si>
  <si>
    <t>0,0288000</t>
  </si>
  <si>
    <t>0,0540000</t>
  </si>
  <si>
    <t>102491</t>
  </si>
  <si>
    <t>PINTURA DE PISO COM TINTA ACRÍLICA, APLICAÇÃO MANUAL, 2 DEMÃOS, INCLUSO FUNDO PREPARADOR</t>
  </si>
  <si>
    <t>6085</t>
  </si>
  <si>
    <t>SELADOR ACRILICO OPACO PREMIUM INTERIOR/EXTERIOR</t>
  </si>
  <si>
    <t>0,1600000</t>
  </si>
  <si>
    <t>7348</t>
  </si>
  <si>
    <t>TINTA ACRILICA PREMIUM PARA PISO</t>
  </si>
  <si>
    <t>0,4270000</t>
  </si>
  <si>
    <t>PROPRIA</t>
  </si>
  <si>
    <t>RECUPERAÇÃO DE PISO ELEVADO</t>
  </si>
  <si>
    <t>39694</t>
  </si>
  <si>
    <t>PISO ELEVADO MONOLITICO INCLUINDO FORMA DE MATERIAL DE ENCHIMENTO. Referênca. Werden</t>
  </si>
  <si>
    <t>1,0000000</t>
  </si>
  <si>
    <t>0,4090000</t>
  </si>
  <si>
    <t>0,2040000</t>
  </si>
  <si>
    <t>PISO EM CARPETE - Plenário - inluindo retirada do anterior</t>
  </si>
  <si>
    <t>PLACA DE CARPETE azul</t>
  </si>
  <si>
    <t>Execução de junta de dilatação com selante elástico monocomponente a base de poliuretano 1x1cm</t>
  </si>
  <si>
    <t>JUNTA DE DILATAÇÃO, COM TARUGO DE POLIETILENO E SELANTE PU, INCLUSO PREENCHIMENTO COM ESPUMA EXPANSIVA</t>
  </si>
  <si>
    <t>98577</t>
  </si>
  <si>
    <t>TRATAMENTO DE JUNTA SERRADA, COM TARUGO DE POLIETILENO E SELANTE À BASE DE SILICONE</t>
  </si>
  <si>
    <t>43142</t>
  </si>
  <si>
    <t>SELANTE MONOCOMPONENTE A BASE DE SILICONE DE BAIXO MODULO, PARA JUNTAS DE PAVIMENTACAO</t>
  </si>
  <si>
    <t>0,0648000</t>
  </si>
  <si>
    <t>44073</t>
  </si>
  <si>
    <t>TARUGO DELIMITADOR DE PROFUNDIDADE EM ESPUMA DE POLIETILENO DE BAIXA DENSIDADE 10 MM, CINZA</t>
  </si>
  <si>
    <t>1,1650000</t>
  </si>
  <si>
    <t>PISO PODOTÁTIL DE ALERTA OU DIRECIONAL, DE BORRACHA, ASSENTADO SOBRE ARGAMASSA</t>
  </si>
  <si>
    <t>1379</t>
  </si>
  <si>
    <t>CIMENTO PORTLAND COMPOSTO CP II-32</t>
  </si>
  <si>
    <t>0,2400000</t>
  </si>
  <si>
    <t>1,2150000</t>
  </si>
  <si>
    <t>38186</t>
  </si>
  <si>
    <t>PISO TATIL DE ALERTA OU DIRECIONAL, DE BORRACHA, COLORIDO, 25 X 25 CM, E = 12 MM, PARA ARGAMASSA</t>
  </si>
  <si>
    <t>0,2500000</t>
  </si>
  <si>
    <t>0,4370000</t>
  </si>
  <si>
    <t>0,2180000</t>
  </si>
  <si>
    <t>Execução de PUPED – MEMBRANA DE POLIURETANO PARA TRÁFEGO DE PEDESTRES COM 1,8mm DE ESPESSURA, TEXTURA ANTIDERRAPANTE E PROTEÇÃO ALIFÁTICA CONTRA INTEMPÉRIES</t>
  </si>
  <si>
    <t>MEMBRANA IMPERMEABILIZANTE A BASE DE POLIURETANO</t>
  </si>
  <si>
    <t xml:space="preserve">KG    </t>
  </si>
  <si>
    <t>TINTA POLIURETANO ALIFÁTICO</t>
  </si>
  <si>
    <t>AJUDANTE ESPECIALIZADO COM ENCARGOS COMPLEMENTARES</t>
  </si>
  <si>
    <t>IMPERMEABILIZADOR COM ENCARGOS COMPLEMENTARES</t>
  </si>
  <si>
    <t>96114</t>
  </si>
  <si>
    <t>FORRO EM DRYWALL, PARA AMBIENTES COMERCIAIS, INCLUSIVE ESTRUTURA DE FIXAÇÃO</t>
  </si>
  <si>
    <t>335</t>
  </si>
  <si>
    <t>ARAME GALVANIZADO 10 BWG, 3,40 MM (0,0713 KG/M)</t>
  </si>
  <si>
    <t>0,0426000</t>
  </si>
  <si>
    <t>39413</t>
  </si>
  <si>
    <t>CHAPA DE GESSO ACARTONADO, STANDARD (ST), COR BRANCA, E = 12,5 MM, 1200 X 2400 MM (L X C)</t>
  </si>
  <si>
    <t>1,0966000</t>
  </si>
  <si>
    <t>39427</t>
  </si>
  <si>
    <t>PERFIL CANALETA, FORMATO C, EM ACO ZINCADO, PARA ESTRUTURA FORRO DRYWALL, E = 0,5 MM, *46 X 18* (L X H), COMPRIMENTO 3 M</t>
  </si>
  <si>
    <t>3,8510000</t>
  </si>
  <si>
    <t>39430</t>
  </si>
  <si>
    <t>PENDURAL OU PRESILHA REGULADORA, EM ACO GALVANIZADO, COM CORPO, MOLA E REBITE, PARA PERFIL TIPO CANALETA DE ESTRUTURA EM FORROS DRYWALL</t>
  </si>
  <si>
    <t>1,3265000</t>
  </si>
  <si>
    <t>39432</t>
  </si>
  <si>
    <t>FITA DE PAPEL REFORCADA COM LAMINA DE METAL PARA REFORCO DE CANTOS DE CHAPA DE GESSO PARA DRYWALL</t>
  </si>
  <si>
    <t>1,4395000</t>
  </si>
  <si>
    <t>39434</t>
  </si>
  <si>
    <t>MASSA DE REJUNTE EM PO PARA DRYWALL, A BASE DE GESSO, SECAGEM RAPIDA, PARA TRATAMENTO DE JUNTAS DE CHAPA DE GESSO (COM ADICAO DE AGUA)</t>
  </si>
  <si>
    <t>0,5202000</t>
  </si>
  <si>
    <t>39435</t>
  </si>
  <si>
    <t>PARAFUSO DRY WALL, EM ACO FOSFATIZADO, CABECA TROMBETA E PONTA AGULHA (TA), COMPRIMENTO 25 MM</t>
  </si>
  <si>
    <t>7,9740000</t>
  </si>
  <si>
    <t>39443</t>
  </si>
  <si>
    <t>PARAFUSO DRY WALL, EM ACO ZINCADO, CABECA LENTILHA E PONTA BROCA (LB), LARGURA 4,2 MM, COMPRIMENTO 13 MM</t>
  </si>
  <si>
    <t>2,1912000</t>
  </si>
  <si>
    <t>40547</t>
  </si>
  <si>
    <t>PARAFUSO ZINCADO, AUTOBROCANTE, FLANGEADO, 4,2 X 19"</t>
  </si>
  <si>
    <t>CENTO</t>
  </si>
  <si>
    <t>0,0132000</t>
  </si>
  <si>
    <t>88278</t>
  </si>
  <si>
    <t>MONTADOR DE ESTRUTURA METÁLICA COM ENCARGOS COMPLEMENTARES</t>
  </si>
  <si>
    <t>0,3628000</t>
  </si>
  <si>
    <t>FORRO EM RÉGUAS DE PVC, FRISADO, PARA AMBIENTES COMERCIAIS, INCLUSIVE ESTRUTURA DE FIXAÇÃO</t>
  </si>
  <si>
    <t>36238</t>
  </si>
  <si>
    <t>FORRO DE PVC, FRISADO, BRANCO, REGUA DE 20 CM, ESPESSURA DE 8 MM A 10 MM E COMPRIMENTO 6 M (SEM COLOCACAO)</t>
  </si>
  <si>
    <t>1,0956000</t>
  </si>
  <si>
    <t>3,8499000</t>
  </si>
  <si>
    <t>PARAFUSO ZINCADO, AUTOBROCANTE, FLANGEADO, 4,2 MM X 19 MM</t>
  </si>
  <si>
    <t>40552</t>
  </si>
  <si>
    <t>PARAFUSO, AUTO ATARRACHANTE, CABECA CHATA, FENDA SIMPLES, 1/4 (6,35 MM) X 25 MM</t>
  </si>
  <si>
    <t>0,0333000</t>
  </si>
  <si>
    <t>43131</t>
  </si>
  <si>
    <t>ARAME GALVANIZADO 6 BWG, D = 5,16 MM (0,157 KG/M), OU 8 BWG, D = 4,19 MM (0,101 KG/M), OU 10 BWG, D = 3,40 MM (0,0713 KG/M)</t>
  </si>
  <si>
    <t>0,4994000</t>
  </si>
  <si>
    <t>ACABAMENTOS PARA FORRO (RODA-FORRO EM PERFIL METÁLICO E PLÁSTICO)</t>
  </si>
  <si>
    <t>36246</t>
  </si>
  <si>
    <t>ACABAMENTO SIMPLES/CONVENCIONAL PARA FORRO PVC, TIPO "U" OU "C", COR BRANCA, COMPRIMENTO 6 M</t>
  </si>
  <si>
    <t>1,1512000</t>
  </si>
  <si>
    <t>0,5833000</t>
  </si>
  <si>
    <t>0,0749000</t>
  </si>
  <si>
    <t>0,1468000</t>
  </si>
  <si>
    <t>AJUSTES E RECOLOCACO DE FORROS EM LAMBRIL DE MADEIRA DO REFEITÓRIO, CONSIDERANDO REAPROVEITAMENTO DO MATERIAL</t>
  </si>
  <si>
    <t>COLA BRANCA</t>
  </si>
  <si>
    <t>88261</t>
  </si>
  <si>
    <t>CARPINTEIRO DE ESQUADRIA COM ENCARGOS COMPLEMENTARES</t>
  </si>
  <si>
    <t>Parede de dry-wall - instalada (interna, guia simples, sem vão)</t>
  </si>
  <si>
    <t>37586</t>
  </si>
  <si>
    <t>PINO DE ACO COM ARRUELA CONICA, DIAMETRO ARRUELA = *23* MM E COMP HASTE = *27* MM (ACAO INDIRETA)</t>
  </si>
  <si>
    <t>0,0243000</t>
  </si>
  <si>
    <t>2,1060000</t>
  </si>
  <si>
    <t>39419</t>
  </si>
  <si>
    <t>PERFIL GUIA, FORMATO U, EM ACO ZINCADO, PARA ESTRUTURA PAREDE DRYWALL, E = 0,5 MM, 70 X 3000 MM (L X C)</t>
  </si>
  <si>
    <t>0,7604000</t>
  </si>
  <si>
    <t>39422</t>
  </si>
  <si>
    <t>PERFIL MONTANTE, FORMATO C, EM ACO ZINCADO, PARA ESTRUTURA PAREDE DRYWALL, E = 0,5 MM, 70 X 3000 MM (L X C)</t>
  </si>
  <si>
    <t>1,9910000</t>
  </si>
  <si>
    <t>39431</t>
  </si>
  <si>
    <t>FITA DE PAPEL MICROPERFURADO, 50 X 150 MM, PARA TRATAMENTO DE JUNTAS DE CHAPA DE GESSO PARA DRYWALL</t>
  </si>
  <si>
    <t>2,5027000</t>
  </si>
  <si>
    <t>0,7407000</t>
  </si>
  <si>
    <t>1,0327000</t>
  </si>
  <si>
    <t>20,0077000</t>
  </si>
  <si>
    <t>0,8076000</t>
  </si>
  <si>
    <t>0,5449000</t>
  </si>
  <si>
    <t>0,1362000</t>
  </si>
  <si>
    <t>88431</t>
  </si>
  <si>
    <t>APLICAÇÃO MANUAL DE PINTURA COM TINTA TEXTURIZADA ACRÍLICA EM PAREDES EXTERNAS, MURETAS E JARDINEIRAS</t>
  </si>
  <si>
    <t>38877</t>
  </si>
  <si>
    <t>MASSA PARA TEXTURA LISA DE BASE ACRILICA, USO INTERNO E EXTERNO</t>
  </si>
  <si>
    <t>1,9380000</t>
  </si>
  <si>
    <t>0,3030000</t>
  </si>
  <si>
    <t>0,0760000</t>
  </si>
  <si>
    <t>88496</t>
  </si>
  <si>
    <t>APLICAÇÃO E LIXAMENTO DE MASSA LÁTEX EM TETO, DUAS DEMÃOS.</t>
  </si>
  <si>
    <t>3767</t>
  </si>
  <si>
    <t>LIXA EM FOLHA PARA PAREDE OU MADEIRA, NUMERO 120 (COR VERMELHA)</t>
  </si>
  <si>
    <t>0,1000000</t>
  </si>
  <si>
    <t>4051</t>
  </si>
  <si>
    <t>MASSA CORRIDA PVA PARA PAREDES INTERNAS</t>
  </si>
  <si>
    <t>18L</t>
  </si>
  <si>
    <t>0,0489000</t>
  </si>
  <si>
    <t>0,6720000</t>
  </si>
  <si>
    <t>0,2470000</t>
  </si>
  <si>
    <t>88497</t>
  </si>
  <si>
    <t>APLICAÇÃO E LIXAMENTO DE MASSA LÁTEX EM PAREDES, DUAS DEMÃOS.</t>
  </si>
  <si>
    <t>0,3120000</t>
  </si>
  <si>
    <t>0,1140000</t>
  </si>
  <si>
    <t>88488</t>
  </si>
  <si>
    <t>APLICAÇÃO MANUAL DE PINTURA COM TINTA LÁTEX ACRÍLICA EM TETO, DUAS DEMÃOS.</t>
  </si>
  <si>
    <t>7356</t>
  </si>
  <si>
    <t>TINTA ACRILICA PREMIUM, COR BRANCO FOSCO</t>
  </si>
  <si>
    <t>0,3300000</t>
  </si>
  <si>
    <t>0,2440000</t>
  </si>
  <si>
    <t>0,0890000</t>
  </si>
  <si>
    <t>88489</t>
  </si>
  <si>
    <t>APLICAÇÃO MANUAL DE PINTURA COM TINTA LÁTEX ACRÍLICA EM PAREDES, DUAS DEMÃOS.</t>
  </si>
  <si>
    <t>TINTA ACRILICA PREMIUM LAVAVEL, COR BRANCO FOSCO</t>
  </si>
  <si>
    <t>0,1870000</t>
  </si>
  <si>
    <t>0,0690000</t>
  </si>
  <si>
    <t>PINTURA ESMALTE ACETINADO EM MADEIRA, DUAS DEMAOS COM LIXAMENTO</t>
  </si>
  <si>
    <t>0,4000000</t>
  </si>
  <si>
    <t>5318</t>
  </si>
  <si>
    <t>SOLVENTE DILUENTE A BASE DE AGUARRAS</t>
  </si>
  <si>
    <t>0,0400000</t>
  </si>
  <si>
    <t>7311</t>
  </si>
  <si>
    <t>TINTA ESMALTE SINTETICO PREMIUM ACETINADO</t>
  </si>
  <si>
    <t>0,2000000</t>
  </si>
  <si>
    <t>VERNIZ SINTETICO EM MADEIRA, 3 DEMAOS, incolor, COM LIXAMENTO</t>
  </si>
  <si>
    <t>0,0468000</t>
  </si>
  <si>
    <t>10475</t>
  </si>
  <si>
    <t>VERNIZ MARITIMO PREMIUM PARA MADEIRA, COM FILTRO SOLAR, BRILHANTE, USO INTERNO E EXTERNO</t>
  </si>
  <si>
    <t>0,3000000</t>
  </si>
  <si>
    <t>PINTURA COM TINTA PROTETORA ACABAMENTO GRAFITE ESMALTE SOBRE SUPERFICIE METALICA, 2 DEMAOS</t>
  </si>
  <si>
    <t>3768</t>
  </si>
  <si>
    <t>LIXA EM FOLHA PARA FERRO, NUMERO 150</t>
  </si>
  <si>
    <t>0,0500000</t>
  </si>
  <si>
    <t>7293</t>
  </si>
  <si>
    <t>TINTA ESMALTE SINTETICO GRAFITE COM PROTECAO PARA METAIS FERROSOS</t>
  </si>
  <si>
    <t>0,1200000</t>
  </si>
  <si>
    <t>0,8000000</t>
  </si>
  <si>
    <t>PINTURA ESMALTE ACETINADO, DUAS DEMAOS, SOBRE SUPERFICIE METALICA - VIGAS METALICAS INTERNAS</t>
  </si>
  <si>
    <t>0,6000000</t>
  </si>
  <si>
    <t>0,0700000</t>
  </si>
  <si>
    <t>TINTA ESMALTE SINTETICO PREMIUM ACETINADO BRANCO</t>
  </si>
  <si>
    <t>0,5000000</t>
  </si>
  <si>
    <t>FUNDO PREPARADOR PRIMER SINTETICO, PARA ESTRUTURA METALICA, UMA DEMÃO, ESPESSURA DE 25 MICRA</t>
  </si>
  <si>
    <t>FUNDO ANTICORROSIVO TIPO ZARCAO</t>
  </si>
  <si>
    <t>0,0800000</t>
  </si>
  <si>
    <t>PINTURA DE BATE RODAS INSTALADOS NOS SUBSOLOS</t>
  </si>
  <si>
    <t>TINTA ESMALTE SINTETICO PREMIUM ACETINADO AMARELA</t>
  </si>
  <si>
    <t>REVESTIMENTO EM LAMINADO MELAMINICO LISO VERDE, ESPESSURA 0,8 MM, FIXADO COM COLA</t>
  </si>
  <si>
    <t>1339</t>
  </si>
  <si>
    <t>COLA A BASE DE RESINA SINTETICA PARA CHAPA DE LAMINADO MELAMINICO</t>
  </si>
  <si>
    <t>0,9000000</t>
  </si>
  <si>
    <t>CHAPA DE LAMINADO MELAMINICO E = 0,8 MM</t>
  </si>
  <si>
    <t>1,0500000</t>
  </si>
  <si>
    <t>0,1800000</t>
  </si>
  <si>
    <t>0,7800000</t>
  </si>
  <si>
    <t>CANTONEIRA DE ALUMINIO 1"X1, PARA PROTECAO DE QUINA DE PAREDE</t>
  </si>
  <si>
    <t>586</t>
  </si>
  <si>
    <t>CANTONEIRA ALUMINIO ABAS IGUAIS 1 ", E = 3 /16 "</t>
  </si>
  <si>
    <t>ISOLAMENTO TERMICO COM MANTA DE LA DE VIDRO, ESPESSURA 2,5CM</t>
  </si>
  <si>
    <t>509</t>
  </si>
  <si>
    <t>ASFALTO MODIFICADO TIPO III - NBR 9910 (ASFALTO OXIDADO PARA IMPERMEABILIZACAO, COEFICIENTE DE PENETRACAO 15-25)</t>
  </si>
  <si>
    <t>3,0000000</t>
  </si>
  <si>
    <t>3412</t>
  </si>
  <si>
    <t>PAINEL DE LA DE VIDRO SEM REVESTIMENTO PSI 20, E = 25 MM, DE 1200 X 600 MM</t>
  </si>
  <si>
    <t>88270</t>
  </si>
  <si>
    <t>Persiana horizontal em alumínio branca ou cinza 16mm</t>
  </si>
  <si>
    <t>orse 1741</t>
  </si>
  <si>
    <t>ALIZAR / GUARNIÇÃO DE 5X1,5CM PARA PORTA DE 60X210CM FIXADO COM PREGOS, PADRÃO MÉDIO - FORNECIMENTO E INSTALAÇÃO.</t>
  </si>
  <si>
    <t>20017</t>
  </si>
  <si>
    <t>GUARNICAO / ALIZAR / VISTA LISA EM MADEIRA MACICA, PARA PORTA  , E = *1* CM, L = *5* CM, CEDRINHO / ANGELIM COMERCIAL / TAURI/ CURUPIXA / PEROBA / CUMARU OU EQUIVALENTE DA REGIAO</t>
  </si>
  <si>
    <t>1,1630000</t>
  </si>
  <si>
    <t>39026</t>
  </si>
  <si>
    <t>PREGO DE ACO POLIDO SEM CABECA 15 X 15 (1 1/4 X 13)</t>
  </si>
  <si>
    <t>0,0060000</t>
  </si>
  <si>
    <t>0,0680000</t>
  </si>
  <si>
    <t>0,0340000</t>
  </si>
  <si>
    <t>90823</t>
  </si>
  <si>
    <t>PORTA DE MADEIRA PARA PINTURA, SEMI-OCA (LEVE OU MÉDIA), 90X210CM, ESPESSURA DE 3,5CM, INCLUSO DOBRADIÇAS - FORNECIMENTO E INSTALAÇÃO.</t>
  </si>
  <si>
    <t>2432</t>
  </si>
  <si>
    <t>DOBRADICA EM ACO/FERRO, 3 1/2" X  3", E= 1,9  A 2 MM, COM ANEL,  CROMADO OU ZINCADO, TAMPA BOLA, COM PARAFUSOS</t>
  </si>
  <si>
    <t>10556</t>
  </si>
  <si>
    <t>PORTA DE MADEIRA, FOLHA MEDIA (NBR 15930) DE 90 X 210 CM, E = 35 MM, NUCLEO SARRAFEADO, CAPA LISA EM HDF, ACABAMENTO EM PRIMER PARA PINTURA</t>
  </si>
  <si>
    <t>11055</t>
  </si>
  <si>
    <t>PARAFUSO ROSCA SOBERBA ZINCADO CABECA CHATA FENDA SIMPLES 3,5 X 25 MM (1 ")</t>
  </si>
  <si>
    <t>19,8000000</t>
  </si>
  <si>
    <t>1,6780000</t>
  </si>
  <si>
    <t>0,8390000</t>
  </si>
  <si>
    <t>PORTA EM ALUMÍNIO DE ABRIR TIPO VENEZIANA COM GUARNIÇÃO, FIXAÇÃO COM PARAFUSOS, FORNECIMENTO E INSTALAÇÃO</t>
  </si>
  <si>
    <t>142</t>
  </si>
  <si>
    <t>SELANTE ELASTICO MONOCOMPONENTE A BASE DE POLIURETANO (PU) PARA JUNTAS DIVERSAS</t>
  </si>
  <si>
    <t>310ML</t>
  </si>
  <si>
    <t>0,8829000</t>
  </si>
  <si>
    <t>7568</t>
  </si>
  <si>
    <t>BUCHA DE NYLON SEM ABA S10, COM PARAFUSO DE 6,10 X 65 MM EM ACO ZINCADO COM ROSCA SOBERBA, CABECA CHATA E FENDA PHILLIPS</t>
  </si>
  <si>
    <t>4,8166000</t>
  </si>
  <si>
    <t>36888</t>
  </si>
  <si>
    <t>GUARNICAO / MOLDURA / ARREMATE DE ACABAMENTO PARA ESQUADRIA, EM ALUMINIO PERFIL 25, ACABAMENTO ANODIZADO BRANCO OU BRILHANTE, PARA 1 FACE</t>
  </si>
  <si>
    <t>6,8504000</t>
  </si>
  <si>
    <t>39025</t>
  </si>
  <si>
    <t>PORTA DE ABRIR EM ALUMINIO TIPO VENEZIANA, ACABAMENTO ANODIZADO NATURAL, SEM GUARNICAO/ALIZAR/VISTA, 87 X 210 CM</t>
  </si>
  <si>
    <t>0,5473000</t>
  </si>
  <si>
    <t>0,3826000</t>
  </si>
  <si>
    <t>0,1910000</t>
  </si>
  <si>
    <t>90838</t>
  </si>
  <si>
    <t>PORTA CORTA-FOGO 90X210X4CM - FORNECIMENTO E INSTALAÇÃO</t>
  </si>
  <si>
    <t>11154</t>
  </si>
  <si>
    <t>PORTA CORTA-FOGO PARA SAIDA DE EMERGENCIA, COM FECHADURA, VAO LUZ DE 90 X 210 CM, CLASSE P-90 (NBR 11742)</t>
  </si>
  <si>
    <t>3,4640000</t>
  </si>
  <si>
    <t>1,7320000</t>
  </si>
  <si>
    <t>88629</t>
  </si>
  <si>
    <t>ARGAMASSA TRAÇO 1:3 (CIMENTO E AREIA MÉDIA), PREPARO MANUAL</t>
  </si>
  <si>
    <t>M3</t>
  </si>
  <si>
    <t>0,0422000</t>
  </si>
  <si>
    <t>90844</t>
  </si>
  <si>
    <t>KIT DE PORTA DE MADEIRA PARA PINTURA, SEMI-OCA (LEVE OU MÉDIA), PADRÃO MÉDIO, 90X210CM, ESPESSURA DE 3,5CM, ITENS INCLUSOS: DOBRADIÇAS, MONTAGEM E INSTALAÇÃO DO BATENTE, FECHADURA COM EXECUÇÃO DO FURO - FORNECIMENTO E INSTALAÇÃO</t>
  </si>
  <si>
    <t>90806</t>
  </si>
  <si>
    <t>BATENTE PARA PORTA DE MADEIRA, FIXAÇÃO COM ARGAMASSA, PADRÃO MÉDIO - FORNECIMENTO E INSTALAÇÃO</t>
  </si>
  <si>
    <t>PORTA DE MADEIRA PARA PINTURA, SEMI-OCA (LEVE OU MÉDIA), 90X210CM, ESPESSURA DE 3,5CM, INCLUSO DOBRADIÇAS - FORNECIMENTO E INSTALAÇÃO</t>
  </si>
  <si>
    <t>90830</t>
  </si>
  <si>
    <t>FECHADURA DE EMBUTIR COM CILINDRO, EXTERNA, COMPLETA, ACABAMENTO PADRÃO MÉDIO, INCLUSO EXECUÇÃO DE FURO - FORNECIMENTO E INSTALAÇÃO</t>
  </si>
  <si>
    <t>100659</t>
  </si>
  <si>
    <t>ALIZAR DE 5X1,5CM PARA PORTA FIXADO COM PREGOS, PADRÃO MÉDIO - FORNECIMENTO E INSTALAÇÃO</t>
  </si>
  <si>
    <t>10,2000000</t>
  </si>
  <si>
    <t xml:space="preserve">PORTA DE MADEIRA, SEMI-OCA (LEVE OU MÉDIA), 80X210CM, ESPESSURA DE 3,5CM, INCLUSO DOBRADIÇAS - FORNECIMENTO E INSTALAÇÃO. </t>
  </si>
  <si>
    <t>4964</t>
  </si>
  <si>
    <t>PORTA DE ABRIR / GIRO, DE MADEIRA FOLHA MEDIA (NBR 15930) DE 800 X 2100 MM, DE 35 MM A 40 MM DE ESPESSURA, NUCLEO SEMI-SOLIDO (SARRAFEADO), CAPA FRISADA EM HDF, ACABAMENTO MELAMINICO EM PADRAO MADEIRA</t>
  </si>
  <si>
    <t>1,5460000</t>
  </si>
  <si>
    <t>0,7730000</t>
  </si>
  <si>
    <t>Pintura com esmalte retardante ao fogo (para porta corta-fogo)</t>
  </si>
  <si>
    <t>TINTA ANTI CHAMA PARA PORTA CORTA FOGO</t>
  </si>
  <si>
    <t>FUNDO ANTICORROSIVO PARA METAIS FERROSOS (ZARCAO)</t>
  </si>
  <si>
    <t>72178</t>
  </si>
  <si>
    <t>RETIRADA DE DIVISORIAS EM CHAPAS DE MADEIRA, COM MONTANTES METALICOS</t>
  </si>
  <si>
    <t>1,2000000</t>
  </si>
  <si>
    <t>RECOLOCACAO DE DIVISORIAS TIPO CHAPAS OU TABUAS, INCLUSIVE ENTARUGAMENTO, CONSIDERANDO REAPROVEITAMENTO DO MATERIAL</t>
  </si>
  <si>
    <t>5061</t>
  </si>
  <si>
    <t>PREGO DE ACO POLIDO COM CABECA 18 X 27 (2 1/2 X 10)</t>
  </si>
  <si>
    <t>99855</t>
  </si>
  <si>
    <t>CORRIMÃO SIMPLES, DIÂMETRO EXTERNO = 1 1/2, EM AÇO GALVANIZADO</t>
  </si>
  <si>
    <t>3,2730000</t>
  </si>
  <si>
    <t>11002</t>
  </si>
  <si>
    <t>ELETRODO REVESTIDO AWS - E6013, DIAMETRO IGUAL A 2,50 MM</t>
  </si>
  <si>
    <t>0,0040000</t>
  </si>
  <si>
    <t>11033</t>
  </si>
  <si>
    <t>SUPORTE PARA CALHA DE 150 MM EM FERRO GALVANIZADO</t>
  </si>
  <si>
    <t>1,0910000</t>
  </si>
  <si>
    <t>21012</t>
  </si>
  <si>
    <t>TUBO ACO GALVANIZADO COM COSTURA, CLASSE LEVE, DN 40 MM ( 1 1/2"),  E = 3,00 MM,  *3,48* KG/M (NBR 5580)</t>
  </si>
  <si>
    <t>1,0290000</t>
  </si>
  <si>
    <t>88251</t>
  </si>
  <si>
    <t>AUXILIAR DE SERRALHEIRO COM ENCARGOS COMPLEMENTARES</t>
  </si>
  <si>
    <t>0,7780000</t>
  </si>
  <si>
    <t>88315</t>
  </si>
  <si>
    <t>SERRALHEIRO COM ENCARGOS COMPLEMENTARES</t>
  </si>
  <si>
    <t>0,9480000</t>
  </si>
  <si>
    <t>99857</t>
  </si>
  <si>
    <t>CORRIMÃO SIMPLES, DIÂMETRO EXTERNO = 1 1/2, EM ALUMÍNIO</t>
  </si>
  <si>
    <t>5104</t>
  </si>
  <si>
    <t>REBITE DE ALUMINIO VAZADO DE REPUXO, 3,2 X 8 MM (1KG = 1025 UNIDADES)</t>
  </si>
  <si>
    <t>0,0020000</t>
  </si>
  <si>
    <t>2,1820000</t>
  </si>
  <si>
    <t>34360</t>
  </si>
  <si>
    <t>PERFIL DE ALUMINIO ANODIZADO</t>
  </si>
  <si>
    <t>0,4770000</t>
  </si>
  <si>
    <t>1,0930000</t>
  </si>
  <si>
    <t>1,3300000</t>
  </si>
  <si>
    <t>EXECUÇÃO DE REVESTIMENTO DE PAREDES E LAMBRIL DE MADEIRA</t>
  </si>
  <si>
    <t>5065</t>
  </si>
  <si>
    <t>PREGO DE ACO POLIDO COM CABECA 10 X 10 (7/8 X 17)</t>
  </si>
  <si>
    <t>0,0083000</t>
  </si>
  <si>
    <t>LAMBRIL DE  MADEIRA PARA PAREDES, CEDRO COM ACABAMENTO DE VERNIZ INCOLOR, ENCAIXE MACHO/FEMEA, *20 X 2* CM</t>
  </si>
  <si>
    <t>1,0750000</t>
  </si>
  <si>
    <t>44396</t>
  </si>
  <si>
    <t>COLA BRANCA BASE PVA</t>
  </si>
  <si>
    <t>0,5750000</t>
  </si>
  <si>
    <t>0,1926000</t>
  </si>
  <si>
    <t>88320</t>
  </si>
  <si>
    <t>TAQUEADOR OU TAQUEIRO COM ENCARGOS COMPLEMENTARES</t>
  </si>
  <si>
    <t>0,4624000</t>
  </si>
  <si>
    <t>ESPELHO CRISTAL, ESPESSURA 4MM, COM PARAFUSOS DE FIXACAO, SEM MOLDURA</t>
  </si>
  <si>
    <t>442</t>
  </si>
  <si>
    <t>PARAFUSO FRANCES M16 EM ACO GALVANIZADO, COMPRIMENTO = 45 MM, DIAMETRO = 16 MM, CABECA ABAULADA</t>
  </si>
  <si>
    <t>4,0000000</t>
  </si>
  <si>
    <t>11186</t>
  </si>
  <si>
    <t>ESPELHO CRISTAL E = 4 MM</t>
  </si>
  <si>
    <t>88325</t>
  </si>
  <si>
    <t>VIDRACEIRO COM ENCARGOS COMPLEMENTARES</t>
  </si>
  <si>
    <t>2,0000000</t>
  </si>
  <si>
    <t>REVESTIMENTO CERÂMICO PARA PAREDES EXTERNAS EM PASTILHAS DE VIDRO 3 X 3 CM (PLACAS DE 30 X 30 CM), ALINHADAS A PRUMO</t>
  </si>
  <si>
    <t>4396</t>
  </si>
  <si>
    <t>PASTILHA VIDRO, REVEST INT/EXT E PISCINA, COR VERDE ESCURO, SOLIDAS, SEM MESCLAGEM/MISTURA, ACABAMENTO LISO *3 X 3* CM</t>
  </si>
  <si>
    <t>37596</t>
  </si>
  <si>
    <t xml:space="preserve">ARGAMASSA COLANTE TIPO AC III </t>
  </si>
  <si>
    <t>9,8400000</t>
  </si>
  <si>
    <t>1,2900000</t>
  </si>
  <si>
    <t>0,6500000</t>
  </si>
  <si>
    <t>REVESTIMENTO CERÂMICO PARA PAREDES INTERNAS COM PLACAS TIPO ESMALTADA EXTRA DE DIMENSÕES 20X20 CM APLICADAS EM AMBIENTES DE ÁREA MENOR QUE 5 M² NA ALTURA INTEIRA DAS PAREDES</t>
  </si>
  <si>
    <t>536</t>
  </si>
  <si>
    <t>REVESTIMENTO EM CERAMICA ESMALTADA EXTRA, PEI MENOR OU IGUAL A 3, FORMATO MENOR OU IGUAL A 2025 CM2</t>
  </si>
  <si>
    <t>1,0600000</t>
  </si>
  <si>
    <t>1381</t>
  </si>
  <si>
    <t>ARGAMASSA COLANTE AC I PARA CERAMICAS</t>
  </si>
  <si>
    <t>4,8600000</t>
  </si>
  <si>
    <t>0,4200000</t>
  </si>
  <si>
    <t>0,7200000</t>
  </si>
  <si>
    <t>0,3800000</t>
  </si>
  <si>
    <t>IMPERMEABILIZAÇÃO CAIXA D'AGUA SUPERIOR com ARGAMASSA POLIMÉRICA COM ESPESSURA DE 1,0mm + MEMBRANA ACRÍLICA COM CIMENTO, COM ESPESSURA DE 3,0mm - 4 demãos</t>
  </si>
  <si>
    <t>135</t>
  </si>
  <si>
    <t>ARGAMASSA POLIMERICA IMPERMEABILIZANTE SEMIFLEXIVEL, BICOMPONENTE (MEMBRANA IMPERMEABILIZANTE ACRILICA)</t>
  </si>
  <si>
    <t>4,2000000</t>
  </si>
  <si>
    <t>4030</t>
  </si>
  <si>
    <t>VEU DE POLIESTER PARA IMPERMEABILIZACAO</t>
  </si>
  <si>
    <t>1,3510000</t>
  </si>
  <si>
    <t>88243</t>
  </si>
  <si>
    <t>0,1780000</t>
  </si>
  <si>
    <t>0,8810000</t>
  </si>
  <si>
    <t>Pintura de concreto aparente, com lixamento e preparação de base, com resina acrilica impermeabilizante, 2 DEMAOS</t>
  </si>
  <si>
    <t>Resina acrilica de alta performance impermeabilizante a base d'agua. Ref: Resicril</t>
  </si>
  <si>
    <t>LIXADEIRA ELETRICA INDUSTRIAL P/ CORTE OU DESGASTE DIAM 7" PORTATIL</t>
  </si>
  <si>
    <t>VIDRO TEMPERADO INCOLOR, ESPESSURA 10MM, FORNECIMENTO E INSTALACAO, INCLUSIVE MASSA PARA VEDACAO</t>
  </si>
  <si>
    <t>10498</t>
  </si>
  <si>
    <t>MASSA PARA VIDRO</t>
  </si>
  <si>
    <t>1,5000000</t>
  </si>
  <si>
    <t>10507</t>
  </si>
  <si>
    <t>VIDRO TEMPERADO INCOLOR E = 10 MM, SEM COLOCACAO</t>
  </si>
  <si>
    <t>INSTALAÇÃO DE VIDRO LAMINADO, E = 10 MM, ENCAIXADO EM PERFIL U</t>
  </si>
  <si>
    <t>VIDRO COMUM LAMINADO, LISO, INCOLOR, duplo, ESPESSURA TOTAL 10 MM - COLOCADO</t>
  </si>
  <si>
    <t>11950</t>
  </si>
  <si>
    <t>BUCHA DE NYLON SEM ABA S6, COM PARAFUSO DE 4,20 X 40 MM EM ACO ZINCADO COM ROSCA SOBERBA, CABECA CHATA E FENDA PHILLIPS</t>
  </si>
  <si>
    <t>20259</t>
  </si>
  <si>
    <t>PERFIL DE BORRACHA EPDM MACICO *12 X 15* MM PARA ESQUADRIAS</t>
  </si>
  <si>
    <t>2,9750000</t>
  </si>
  <si>
    <t>2,6050000</t>
  </si>
  <si>
    <t>1,4730000</t>
  </si>
  <si>
    <t>1,5150000</t>
  </si>
  <si>
    <t>Limpeza e manutenção de PAINEL DE PROTEÇÃO SOLAR COM ESQUADRIA DE ALUMÍNIO e demais elementos de fachada</t>
  </si>
  <si>
    <t>Limpeza e manutenção de todo PAINEL DE PROTEÇÃO SOLAR COM ESQUADRIA DE ALUMÍNIO - interno e externo. (Referência: SOLTIS 86 2035 FERRARI). Limpeza de guarda corpo de vidro do 5 andar, vidro da cascata, toda estrutura metálica aparente externa, hidrojateamento do concreto aparente e estrutura de perteck (laminado de alta resistencia)</t>
  </si>
  <si>
    <t>orse 9732</t>
  </si>
  <si>
    <t>ALUGUEL DE CADEIRINHA P/ FACHADA</t>
  </si>
  <si>
    <t>mês</t>
  </si>
  <si>
    <t>COMPOSIÇÃO</t>
  </si>
  <si>
    <t>DETERGENTE NEUTRO USO GERAL, CONCENTRADO</t>
  </si>
  <si>
    <t>AUXILIAR DE SERVIÇOS GERAIS COM ENCARGOS COMPLEMENTARES</t>
  </si>
  <si>
    <t>LAVADORA DE ALTA PRESSAO PARA AGUA FRIA</t>
  </si>
  <si>
    <t>Manutenção e pintura de vigas e elementos metálicos das fachadas norte e sul</t>
  </si>
  <si>
    <t>LIXADEIRA DE PAREDE, COM LED, POTÊNCIA 750 W</t>
  </si>
  <si>
    <t>DILUENTE AGUARRAS</t>
  </si>
  <si>
    <t>7307</t>
  </si>
  <si>
    <t>0,1098000</t>
  </si>
  <si>
    <t>TINTA ESMALTE SINTETICO PREMIUM DE DUPLA ACAO GRAFITE FOSCO PARA SUPERFICIES METALICAS FERROSAS</t>
  </si>
  <si>
    <t>composição</t>
  </si>
  <si>
    <t>COLOCAÇÃO DE FITA PROTETORA PARA PINTURA</t>
  </si>
  <si>
    <t>h</t>
  </si>
  <si>
    <t>Execução de Mastro para bandeiras</t>
  </si>
  <si>
    <t>cj</t>
  </si>
  <si>
    <t>Execução de forma</t>
  </si>
  <si>
    <t>m2</t>
  </si>
  <si>
    <t>Armação da base</t>
  </si>
  <si>
    <t>Concretagem de base</t>
  </si>
  <si>
    <t>m3</t>
  </si>
  <si>
    <t>ELETRODO REVESTIDO AWS -E6013, DIAMETRO IGUAL A 2,50mm</t>
  </si>
  <si>
    <t>ROLDANA CONCAVA DUPLA, 4 RODAS, PARA PORTA DE CORRER, EM ZAMAC COM CHAPA DE ACO,  ROLAMENTOINTERNO BLINDADO DE ACO REVESTIDO EM NYLON</t>
  </si>
  <si>
    <t>GANCHO OLHAL EM ACO GALVANIZADO, ESPESSURA 16MM, ABERTURA 21MM</t>
  </si>
  <si>
    <t>TUBO ACO GALVANIZADO COM COSTURA, CLASSE MEDIA, DN 3", E = *4,05* MM, PESO *8,47*KG/M (NBR 5580)</t>
  </si>
  <si>
    <t>CABO DE ACO GALVANIZADO, DIAMETRO 12,7 MM (1/2"),COM ALMA DE ACO CABO INDEPENDENTE 6 X 25 F</t>
  </si>
  <si>
    <t>SOLDADOR COM ENCARGOS COMPLEMENTARES</t>
  </si>
  <si>
    <t>PLANTIO DE FORRAÇÃO/ARBUSTOS</t>
  </si>
  <si>
    <t>VB</t>
  </si>
  <si>
    <t>TERRA VEGETAL</t>
  </si>
  <si>
    <t>360</t>
  </si>
  <si>
    <t>MUDA DE RASTEIRA/FORRACAO, AMENDOIM RASTEIRO/ONZE HORAS/AZULZINHA/IMPATIENS OU EQUIVALENTE DA REGIAO</t>
  </si>
  <si>
    <t>MUDA DE ARBUSTO FLORIFERO, CLUSIA/GARDENIA/MOREIA BRANCA/ AZALEIA OU EQUIVALENTE DA REGIAO H= *50 A 70* CM</t>
  </si>
  <si>
    <t>MUDA DE PALMEIRA ARECA, H= *1,50* M</t>
  </si>
  <si>
    <t>MUDA DE ARBUSTO, BUXINHO, H= *50* CM</t>
  </si>
  <si>
    <t>MUDA DE ARVORE ORNAMENTAL, OITI/AROEIRA SALSA/ANGICO/IPE/JACARANDA OU EQUIVALENTE DA REGIAO, H= *1* M</t>
  </si>
  <si>
    <t>MUDA DE ARBUSTO FOLHAGEM, SANSAO-DO-CAMPO OU EQUIVALENTE DA REGIAO, H= *50 A 70* CM</t>
  </si>
  <si>
    <t>88441</t>
  </si>
  <si>
    <t>JARDINEIRO COM ENCARGOS COMPLEMENTARES</t>
  </si>
  <si>
    <t>103946</t>
  </si>
  <si>
    <t>PLANTIO DE GRAMA ESMERALDA OU SÃO CARLOS OU CURITIBANA, EM PLACAS</t>
  </si>
  <si>
    <t>3322</t>
  </si>
  <si>
    <t>GRAMA ESMERALDA OU SAO CARLOS OU CURITIBANA, EM PLACAS, SEM PLANTIO</t>
  </si>
  <si>
    <t>0,1564000</t>
  </si>
  <si>
    <t>0,0391000</t>
  </si>
  <si>
    <t>GRELHA DE FERRO FUNDIDO SIMPLES COM REQUADRO, 150 X 1000 MM, ASSENTADA COM ARGAMASSA 1 : 3 CIMENTO: AREIA - FORNECIMENTO E INSTALAÇÃO</t>
  </si>
  <si>
    <t>11235</t>
  </si>
  <si>
    <t>GRELHA FOFO SIMPLES COM REQUADRO, CARGA MAXIMA 1,5 T, 150 X 1000 MM, E= *15* MM</t>
  </si>
  <si>
    <t>0,4530000</t>
  </si>
  <si>
    <t>ARGAMASSA TRAÇO 1:3 (EM VOLUME DE CIMENTO E AREIA MÉDIA ÚMIDA), PREPARO MANUAL. AF_08/2019</t>
  </si>
  <si>
    <t>0,0054000</t>
  </si>
  <si>
    <t>CALHA EM CHAPA DE AÇO GALVANIZADO NÚMERO 24, DESENVOLVIMENTO DE 100 CM , INCLUSO TRANSPORTE VERTICAL</t>
  </si>
  <si>
    <t>SELANTE ELASTICO MONOCOMPONENTE A BASE DE POLIURETANO PARA JUNTAS DIVERSAS</t>
  </si>
  <si>
    <t>0,1610000</t>
  </si>
  <si>
    <t>0,0049000</t>
  </si>
  <si>
    <t>13388</t>
  </si>
  <si>
    <t>SOLDA EM BARRA DE ESTANHO-CHUMBO 50/50</t>
  </si>
  <si>
    <t>40871</t>
  </si>
  <si>
    <t>CALHA QUADRADA DE CHAPA DE ACO GALVANIZADA NUM 24, CORTE 100 CM (COLETADO CAIXA)</t>
  </si>
  <si>
    <t>0,6330000</t>
  </si>
  <si>
    <t>88323</t>
  </si>
  <si>
    <t>TELHADISTA COM ENCARGOS COMPLEMENTARES</t>
  </si>
  <si>
    <t>0,5390000</t>
  </si>
  <si>
    <t>93281</t>
  </si>
  <si>
    <t>GUINCHO ELÉTRICO DE COLUNA, CAPACIDADE 400 KG, COM MOTO FREIO, MOTOR TRIFÁSICO DE 1,25 CV - CHP DIURNO. AF_03/2016</t>
  </si>
  <si>
    <t>93282</t>
  </si>
  <si>
    <t>GUINCHO ELÉTRICO DE COLUNA, CAPACIDADE 400 KG, COM MOTO FREIO, MOTOR TRIFÁSICO DE 1,25 CV - CHI DIURNO. AF_03/2016</t>
  </si>
  <si>
    <t>0,0183000</t>
  </si>
  <si>
    <t>RUFO EM CHAPA DE AÇO GALVANIZADO NÚMERO 24, CORTE DE 25 CM, INCLUSO TRANSPORTE VERTICAL</t>
  </si>
  <si>
    <t>0,0012000</t>
  </si>
  <si>
    <t>0,0450000</t>
  </si>
  <si>
    <t>40872</t>
  </si>
  <si>
    <t>RUFO INTERNO/EXTERNO DE CHAPA DE ACO GALVANIZADA NUM 24, CORTE 25 CM (COLETADO CAIXA)</t>
  </si>
  <si>
    <t>0,2070000</t>
  </si>
  <si>
    <t>0,1120000</t>
  </si>
  <si>
    <t>89356</t>
  </si>
  <si>
    <t xml:space="preserve">TUBO, PVC, SOLDÁVEL, DN 25MM, INSTALADO EM RAMAL OU SUB-RAMAL DE ÁGUA - FORNECIMENTO E INSTALAÇÃO. </t>
  </si>
  <si>
    <t>9868</t>
  </si>
  <si>
    <t>TUBO PVC, SOLDAVEL, DN 25 MM, AGUA FRIA (NBR-5648)</t>
  </si>
  <si>
    <t>1,0610000</t>
  </si>
  <si>
    <t>38383</t>
  </si>
  <si>
    <t>LIXA D'AGUA EM FOLHA, GRAO 100</t>
  </si>
  <si>
    <t>0,1230000</t>
  </si>
  <si>
    <t>88248</t>
  </si>
  <si>
    <t>AUXILIAR DE ENCANADOR OU BOMBEIRO HIDRÁULICO COM ENCARGOS COMPLEMENTARES</t>
  </si>
  <si>
    <t>0,3690000</t>
  </si>
  <si>
    <t>88267</t>
  </si>
  <si>
    <t>ENCANADOR OU BOMBEIRO HIDRÁULICO COM ENCARGOS COMPLEMENTARES</t>
  </si>
  <si>
    <t>89357</t>
  </si>
  <si>
    <t xml:space="preserve">TUBO, PVC, SOLDÁVEL, DN 32MM, INSTALADO EM RAMAL OU SUB-RAMAL DE ÁGUA - FORNECIMENTO E INSTALAÇÃO. </t>
  </si>
  <si>
    <t>9869</t>
  </si>
  <si>
    <t>TUBO PVC, SOLDAVEL, DN 32 MM, AGUA FRIA (NBR-5648)</t>
  </si>
  <si>
    <t>0,1470000</t>
  </si>
  <si>
    <t>0,4400000</t>
  </si>
  <si>
    <t>89512</t>
  </si>
  <si>
    <t xml:space="preserve">TUBO PVC, SÉRIE R, ÁGUA PLUVIAL, DN 100 MM, FORNECIDO E INSTALADO EM RAMAL DE ENCAMINHAMENTO. </t>
  </si>
  <si>
    <t>122</t>
  </si>
  <si>
    <t>ADESIVO PLASTICO PARA PVC, FRASCO COM 850 GR</t>
  </si>
  <si>
    <t>0,0429000</t>
  </si>
  <si>
    <t>9841</t>
  </si>
  <si>
    <t>TUBO PVC, SERIE R, DN 100 MM, PARA ESGOTO OU AGUAS PLUVIAIS PREDIAL (NBR 5688)</t>
  </si>
  <si>
    <t>1,0400000</t>
  </si>
  <si>
    <t>20083</t>
  </si>
  <si>
    <t>SOLUCAO LIMPADORA PARA PVC, FRASCO COM 1000 CM3</t>
  </si>
  <si>
    <t>0,0701000</t>
  </si>
  <si>
    <t>0,1485000</t>
  </si>
  <si>
    <t>0,4450000</t>
  </si>
  <si>
    <t>89714</t>
  </si>
  <si>
    <t>TUBO PVC, SERIE NORMAL, ESGOTO PREDIAL, DN 100 MM, FORNECIDO E INSTALADO EM RAMAL DE DESCARGA OU RAMAL DE ESGOTO SANITÁRIO.</t>
  </si>
  <si>
    <t>0,0363000</t>
  </si>
  <si>
    <t>9836</t>
  </si>
  <si>
    <t>TUBO PVC  SERIE NORMAL, DN 100 MM, PARA ESGOTO  PREDIAL (NBR 5688)</t>
  </si>
  <si>
    <t>0,0593000</t>
  </si>
  <si>
    <t>0,7400000</t>
  </si>
  <si>
    <t>91871</t>
  </si>
  <si>
    <t>ELETRODUTO RÍGIDO ROSCÁVEL, PVC, DN 25 MM (3/4"), PARA CIRCUITOS TERMINAIS, INSTALADO EM PAREDE - FORNECIMENTO E INSTALAÇÃO.</t>
  </si>
  <si>
    <t>2674</t>
  </si>
  <si>
    <t>ELETRODUTO DE PVC RIGIDO ROSCAVEL DE 3/4 ", SEM LUVA</t>
  </si>
  <si>
    <t>1,0170000</t>
  </si>
  <si>
    <t>88247</t>
  </si>
  <si>
    <t>AUXILIAR DE ELETRICISTA COM ENCARGOS COMPLEMENTARES</t>
  </si>
  <si>
    <t>0,1700000</t>
  </si>
  <si>
    <t>88264</t>
  </si>
  <si>
    <t>ELETRICISTA COM ENCARGOS COMPLEMENTARES</t>
  </si>
  <si>
    <t>91875</t>
  </si>
  <si>
    <t>LUVA PARA ELETRODUTO, PVC, ROSCÁVEL, DN 25 MM (3/4"), PARA CIRCUITOS TERMINAIS, INSTALADA EM FORRO - FORNECIMENTO E INSTALAÇÃO</t>
  </si>
  <si>
    <t>1891</t>
  </si>
  <si>
    <t>LUVA EM PVC RIGIDO ROSCAVEL, DE 3/4", PARA ELETRODUTO</t>
  </si>
  <si>
    <t>0,1070000</t>
  </si>
  <si>
    <t>91890</t>
  </si>
  <si>
    <t>CURVA 90 GRAUS PARA ELETRODUTO, PVC, ROSCÁVEL, DN 25 MM (3/4"), PARA CIRCUITOS TERMINAIS, INSTALADA EM FORRO - FORNECIMENTO E INSTALAÇÃO</t>
  </si>
  <si>
    <t>1879</t>
  </si>
  <si>
    <t>CURVA 90 GRAUS, LONGA, DE PVC RIGIDO ROSCAVEL, DE 3/4", PARA ELETRODUTO</t>
  </si>
  <si>
    <t>91926</t>
  </si>
  <si>
    <t>CABO DE COBRE FLEXÍVEL ISOLADO, 2,5 MM², ANTI-CHAMA 450/750 V, PARA CIRCUITOS TERMINAIS - FORNECIMENTO E INSTALAÇÃO</t>
  </si>
  <si>
    <t>CABO DE COBRE, FLEXIVEL, CLASSE 4 OU 5, ISOLACAO EM PVC/A, ANTICHAMA BWF-B, 1 CONDUTOR, 450/750 V, SECAO NOMINAL 2,5 MM2</t>
  </si>
  <si>
    <t>1,1900000</t>
  </si>
  <si>
    <t>21127</t>
  </si>
  <si>
    <t>FITA ISOLANTE ADESIVA ANTICHAMA, USO ATE 750 V, EM ROLO DE 19 MM X 5 M</t>
  </si>
  <si>
    <t>0,0090000</t>
  </si>
  <si>
    <t>0,0300000</t>
  </si>
  <si>
    <t>91928</t>
  </si>
  <si>
    <t>CABO DE COBRE FLEXÍVEL ISOLADO, 4 MM², ANTI-CHAMA 450/750 V, PARA CIRCUITOS TERMINAIS - FORNECIMENTO E INSTALAÇÃO</t>
  </si>
  <si>
    <t>CABO DE COBRE, FLEXIVEL, CLASSE 4 OU 5, ISOLACAO EM PVC/A, ANTICHAMA BWF-B, 1 CONDUTOR, 450/750 V, SECAO NOMINAL 4 MM2</t>
  </si>
  <si>
    <t>91930</t>
  </si>
  <si>
    <t>CABO DE COBRE FLEXÍVEL ISOLADO, 6 MM², ANTI-CHAMA 450/750 V, PARA CIRCUITOS TERMINAIS - FORNECIMENTO E INSTALAÇÃO</t>
  </si>
  <si>
    <t>982</t>
  </si>
  <si>
    <t>CABO DE COBRE, FLEXIVEL, CLASSE 4 OU 5, ISOLACAO EM PVC/A, ANTICHAMA BWF-B, 1 CONDUTOR, 450/750 V, SECAO NOMINAL 6 MM2</t>
  </si>
  <si>
    <t>0,0520000</t>
  </si>
  <si>
    <t>95787</t>
  </si>
  <si>
    <t>CONDULETE DE ALUMÍNIO, TIPO LR, PARA ELETRODUTO DE AÇO GALVANIZADO DN 20 MM (3/4''), APARENTE - FORNECIMENTO E INSTALAÇÃO</t>
  </si>
  <si>
    <t>2593</t>
  </si>
  <si>
    <t>CONDULETE DE ALUMINIO TIPO LR, PARA ELETRODUTO ROSCAVEL DE 3/4", COM TAMPA CEGA</t>
  </si>
  <si>
    <t>0,3154000</t>
  </si>
  <si>
    <t>95778</t>
  </si>
  <si>
    <t>CONDULETE DE ALUMÍNIO, TIPO C, PARA ELETRODUTO DE AÇO GALVANIZADO DN 20 MM (3/4''), APARENTE - FORNECIMENTO E INSTALAÇÃO</t>
  </si>
  <si>
    <t>2559</t>
  </si>
  <si>
    <t>CONDULETE DE ALUMINIO TIPO C, PARA ELETRODUTO ROSCAVEL DE 3/4", COM TAMPA CEGA</t>
  </si>
  <si>
    <t>95795</t>
  </si>
  <si>
    <t>CONDULETE DE ALUMÍNIO, TIPO T, PARA ELETRODUTO DE AÇO GALVANIZADO DN 20 MM (3/4''), APARENTE - FORNECIMENTO E INSTALAÇÃO.</t>
  </si>
  <si>
    <t>2574</t>
  </si>
  <si>
    <t>CONDULETE DE ALUMINIO TIPO T, PARA ELETRODUTO ROSCAVEL DE 3/4", COM TAMPA CEGA</t>
  </si>
  <si>
    <t>0,3581000</t>
  </si>
  <si>
    <t>95808</t>
  </si>
  <si>
    <t>CONDULETE DE PVC, TIPO LL/LR, PARA ELETRODUTO DE PVC SOLDÁVEL DN 25 MM (3/4''), APARENTE - FORNECIMENTO E INSTALAÇÃO</t>
  </si>
  <si>
    <t>12020</t>
  </si>
  <si>
    <t>CONDULETE EM PVC, TIPO "LL ou LR", SEM TAMPA, DE 1/2" OU 3/4"</t>
  </si>
  <si>
    <t>0,3443000</t>
  </si>
  <si>
    <t>ELETROCALHA LISA OU PERFURADA EM AÇO GALVANIZADO, LARGURA  100MM E ALTURA 50MM, INCLUSIVE EMENDA E FIXAÇÃO - FORNECIMENTO E INSTALAÇÃO</t>
  </si>
  <si>
    <t>orse 4032</t>
  </si>
  <si>
    <t>EMENDA PARA ELETROCALHA, LISA OU PERFURADA EM AÇO GALVANIZADO, LARGURA 100MM E ALTURA 50MM - FORNECIMENTO E INSTALAÇÃO</t>
  </si>
  <si>
    <t>orse 860</t>
  </si>
  <si>
    <t>ELETROCALHA LISA OU PERFURADA EM CHAPA DE ACO GALVANIZADO, LARGURA 100 MM E ALTURA 50 MM, ESPESSURA #20</t>
  </si>
  <si>
    <t>FIXAÇÃO DE TUBOS HORIZONTAIS DE PVC, CPVC OU COBRE DIÂMETROS MENORES OU IGUAIS A 40 MM OU ELETROCALHAS ATÉ 150MM DE LARGURA, COM ABRAÇADEIRA METÁLICA RÍGIDA TIPO D 1/2”, FIXADA EM PERFILADO EM LAJE</t>
  </si>
  <si>
    <t>ELETROCALHA LISA OU PERFURADA EM AÇO GALVANIZADO, LARGURA 200MM E ALTURA 50MM, INCLUIVE EMENDA E FIXAÇÃO - FORNECIMENTO E INSTALAÇÃO</t>
  </si>
  <si>
    <t>EMENDA PARA ELETROCALHA, LISA OU PERFURADA EM AÇO GALVANIZADO, LARGURA DE 200MM E ALTURA DE 50MM - FORNECIMENTO E INSTALAÇÃO</t>
  </si>
  <si>
    <t>orse 2692</t>
  </si>
  <si>
    <t>ELETROCALHA LISA EM CHAPA DE ACO GALVANIZADO, LARGURA 200 MM E ALTURA 50 MM, ESPESSURA # 20</t>
  </si>
  <si>
    <t>SUPORTE PARA ELETROCALHA LISA OU PERFURADA EM AÇO GALVANIZADO, LARGURA 200 OU 400 MM E ALTURA 50 MM, ESPAÇADO A CADA 1,5 M, EM PERFILADO DE SEÇÃO 38X76 MM, POR METRO DE ELETRECOLHA FIXADA</t>
  </si>
  <si>
    <t>Certificação de ponto lógico</t>
  </si>
  <si>
    <t xml:space="preserve">Certificação de ponto lógico com emissão de laudo </t>
  </si>
  <si>
    <t>Limpeza de placas de sistema fotovoltaico</t>
  </si>
  <si>
    <t>92364</t>
  </si>
  <si>
    <t>TUBO DE AÇO GALVANIZADO COM COSTURA, CLASSE MÉDIA, DN 32 (1 1/4"), CONEXÃO ROSQUEADA, INSTALADO EM REDE DE ALIMENTAÇÃO PARA HIDRANTE - FORNECIMENTO E INSTALAÇÃO.</t>
  </si>
  <si>
    <t>7698</t>
  </si>
  <si>
    <t>TUBO ACO GALVANIZADO COM COSTURA, CLASSE MEDIA, DN 1.1/4", E = *3,25* MM, PESO *3,14* KG/M (NBR 5580)</t>
  </si>
  <si>
    <t>1,0390000</t>
  </si>
  <si>
    <t>92365</t>
  </si>
  <si>
    <t>TUBO DE AÇO GALVANIZADO COM COSTURA, CLASSE MÉDIA, DN 40 (1 1/2"), CONEXÃO ROSQUEADA, INSTALADO EM REDE DE ALIMENTAÇÃO PARA HIDRANTE - FORNECIMENTO E INSTALAÇÃO.</t>
  </si>
  <si>
    <t>7697</t>
  </si>
  <si>
    <t>TUBO ACO GALVANIZADO COM COSTURA, CLASSE MEDIA, DN 1.1/2", E = *3,25* MM, PESO *3,61* KG/M (NBR 5580)</t>
  </si>
  <si>
    <t>0,1940000</t>
  </si>
  <si>
    <t>92652</t>
  </si>
  <si>
    <t>TUBO DE AÇO GALVANIZADO COM COSTURA, CLASSE MÉDIA, CONEXÃO ROSQUEADA, DN 32 (1 1/4"), INSTALADO EM REDE DE ALIMENTAÇÃO PARA SPRINKLER - FORNECIMENTO E INSTALAÇÃO. AF_12/2015</t>
  </si>
  <si>
    <t>101907</t>
  </si>
  <si>
    <t>EXTINTOR DE INCÊNDIO PORTÁTIL COM CARGA DE CO2 DE 6 KG, CLASSE BC - FORNECIMENTO E INSTALAÇÃO. AF_10/2020_PE</t>
  </si>
  <si>
    <t>4350</t>
  </si>
  <si>
    <t>BUCHA DE NYLON, DIAMETRO DO FURO 8 MM, COMPRIMENTO 40 MM, COM PARAFUSO DE ROSCA SOBERBA, CABECA CHATA, FENDA SIMPLES, 4,8 X 50 MM</t>
  </si>
  <si>
    <t>10889</t>
  </si>
  <si>
    <t>EXTINTOR DE INCENDIO PORTATIL COM CARGA DE GAS CARBONICO CO2 DE 6 KG, CLASSE BC</t>
  </si>
  <si>
    <t>0,4574000</t>
  </si>
  <si>
    <t>101909</t>
  </si>
  <si>
    <t>EXTINTOR DE INCÊNDIO PORTÁTIL COM CARGA DE PQS DE 6 KG, CLASSE BC - FORNECIMENTO E INSTALAÇÃO. AF_10/2020_PE</t>
  </si>
  <si>
    <t>10892</t>
  </si>
  <si>
    <t>EXTINTOR DE INCENDIO PORTATIL COM CARGA DE PO QUIMICO SECO (PQS) DE 6 KG, CLASSE BC</t>
  </si>
  <si>
    <t>Bomba rotor 210 mm motor trifásico 380 V, 30 CV 3540 RPM (Conforme ET)</t>
  </si>
  <si>
    <t>PÇ</t>
  </si>
  <si>
    <t>Cotovelo 90º aço carbono 1", instalado na rede</t>
  </si>
  <si>
    <t>3148</t>
  </si>
  <si>
    <t>FITA VEDA ROSCA EM ROLOS DE 18 MM X 50 M (L X C)</t>
  </si>
  <si>
    <t>0,0130000</t>
  </si>
  <si>
    <t>3472</t>
  </si>
  <si>
    <t>COTOVELO 90 GRAUS DE FERRO GALVANIZADO, COM ROSCA BSP, DE 1"</t>
  </si>
  <si>
    <t>0,0030000</t>
  </si>
  <si>
    <t>0,7350000</t>
  </si>
  <si>
    <t>Redução concêntrica aço carbono 2” x 1.1/2”</t>
  </si>
  <si>
    <t>0,0240000</t>
  </si>
  <si>
    <t>3926</t>
  </si>
  <si>
    <t>REDUCAO DE AÇO, ROSCA, DE 2" X 1 1/2"</t>
  </si>
  <si>
    <t>Redução concêntrica aço carbono 2” x 1.1/4”</t>
  </si>
  <si>
    <t>REDUCAO DE AÇO, COM ROSCA, DE 2" X 1 1/4"</t>
  </si>
  <si>
    <t>Redução concêntrica aço carbono 2"x1"</t>
  </si>
  <si>
    <t>REDUCAO DE AÇO, ROSCA, DE 2" X 1</t>
  </si>
  <si>
    <t>Redução concêntrica aço carbono 1.1/2"x1.1/4"</t>
  </si>
  <si>
    <t>0,0190000</t>
  </si>
  <si>
    <t>3936</t>
  </si>
  <si>
    <t>REDUCAO DE AÇO, COM ROSCA BSP, DE 1 1/2" X 1 1/4"</t>
  </si>
  <si>
    <t>0,0050000</t>
  </si>
  <si>
    <t>Redução concêntrica aço carbono 1.1/2"x1"</t>
  </si>
  <si>
    <t>REDUCAO DE AÇO, COM ROSCA BSP, DE 1 1/2" X 1"</t>
  </si>
  <si>
    <t>Redução concêntrica aço carbono 1.1/4"x1"</t>
  </si>
  <si>
    <t>REDUCAO DE AÇO, COM ROSCA BSP, DE 1" X 1 1/4"</t>
  </si>
  <si>
    <t>Redução concêntrica aço carbono 1"x1/2"</t>
  </si>
  <si>
    <t>REDUCAO DE AÇO, COM ROSCA BSP, DE 1/2" X 1"</t>
  </si>
  <si>
    <t>TCPO 15141.8.8</t>
  </si>
  <si>
    <t>Cruzeta de aço carbono 2.1/2”</t>
  </si>
  <si>
    <t>CRUZETA DE FERRO GALVANIZADO, COM ROSCA BSP, DE 2 1/2"</t>
  </si>
  <si>
    <t>Cruzeta de aço carbono 2”</t>
  </si>
  <si>
    <t>CRUZETA DE FERRO GALVANIZADO, COM ROSCA BSP, DE 2"</t>
  </si>
  <si>
    <t>Cruzeta de aço carbono 1.1/2”</t>
  </si>
  <si>
    <t>CRUZETA DE FERRO GALVANIZADO, COM ROSCA BSP, DE 1 1/2"</t>
  </si>
  <si>
    <t>TCPO 15141.8.24</t>
  </si>
  <si>
    <t>Tê 90º aço carbono 2", fornecimento e instalação</t>
  </si>
  <si>
    <t>TÊ AÇO CARBONO 2"</t>
  </si>
  <si>
    <t>Tê 90º aço carbono 1.1/2", fornecimento e instalação</t>
  </si>
  <si>
    <t>TÊ AÇO CARBONO 1 1/2"</t>
  </si>
  <si>
    <t>Tê 90º aço carbono 1", fornecimento e instalação</t>
  </si>
  <si>
    <t>TÊ AÇO CARBONO 1"</t>
  </si>
  <si>
    <t>TCPO 15141.8.26</t>
  </si>
  <si>
    <t>Tê 90º de redução aço carbono 4"x1.1/2", fornecimento e instalação</t>
  </si>
  <si>
    <t>TÊ REDUÇÃO AÇO GALVANIZADO ROSCA 4 X1 1/2"</t>
  </si>
  <si>
    <t>Tê 90º de redução aço carbono 2.1/2"x1", fornecimento e instalação</t>
  </si>
  <si>
    <t>TÊ REDUÇÃO AÇO GALVANIZADO ROSCA 2 1/2 X 1"</t>
  </si>
  <si>
    <t>Tê 90º de redução aço carbono 2"x1", fornecimento e instalação</t>
  </si>
  <si>
    <t>TÊ REDUÇÃO AÇO GALVANIZADO ROSCA 2 X 1"</t>
  </si>
  <si>
    <t>Tê 90º de redução aço carbono 1.1/2"x1.1/4", fornecimento e instalação</t>
  </si>
  <si>
    <t>TÊ REDUÇÃO AÇO GALVANIZADO ROSCA 2 1/2 X 1 1/2"</t>
  </si>
  <si>
    <t>Tê 90º de redução aço carbono 1.1/2"x1", fornecimento e instalação</t>
  </si>
  <si>
    <t>TÊ REDUÇÃO AÇO GALVANIZADO ROSCA 1 1/2 X 1"</t>
  </si>
  <si>
    <t>Tê 90º de redução aço carbono 1.1/4"x1", fornecimento e instalação</t>
  </si>
  <si>
    <t>TÊ REDUÇÃO AÇO GALVANIZADO ROSCA 1 1/4 X 3/4"</t>
  </si>
  <si>
    <t>TCPO 15141.8.27</t>
  </si>
  <si>
    <t>Tubo de aço galvanizado com costura 1" (25 mm), fornecimento e instalação</t>
  </si>
  <si>
    <t>40626</t>
  </si>
  <si>
    <t>TUBO ACO GALVANIZADO COM COSTURA, CLASSE MEDIA, DN 1"</t>
  </si>
  <si>
    <t>Tubo de aço galvanizado com costura 1.1/4" (32 mm), fornecimento e instalação</t>
  </si>
  <si>
    <t>TUBO ACO GALVANIZADO COM COSTURA, CLASSE MEDIA, DN 1 1/4"</t>
  </si>
  <si>
    <t>Tubo de aço galvanizado com costura 1.1/2" (40 mm), fornecimento e instalação</t>
  </si>
  <si>
    <t>TUBO ACO GALVANIZADO COM COSTURA, CLASSE MEDIA, DN 1 1/2"</t>
  </si>
  <si>
    <t>Tubo de aço galvanizado com costura 2" (50 mm), fornecimento e instalação</t>
  </si>
  <si>
    <t>7696</t>
  </si>
  <si>
    <t>TUBO ACO GALVANIZADO COM COSTURA, CLASSE MEDIA, DN 2"</t>
  </si>
  <si>
    <t>Tubo de aço galvanizado com costura 2.1/2" (65 mm), fornecimento e instalação</t>
  </si>
  <si>
    <t>TUBO ACO GALVANIZADO COM COSTURA, CLASSE MEDIA, DN 2 1/2"</t>
  </si>
  <si>
    <t>Tubo de aço galvanizado com costura 3" (80 mm), fornecimento e instalação</t>
  </si>
  <si>
    <t>TUBO ACO GALVANIZADO COM COSTURA, CLASSE MEDIA, DN 3"</t>
  </si>
  <si>
    <t>Sprinkler tipo pendente, orifício nominal Ø 1/2”, temperatura de operação 68º C, fornecimento e instalação</t>
  </si>
  <si>
    <t>21040</t>
  </si>
  <si>
    <t>SPRINKLER TIPO PENDENTE, 68 GRAUS CELSIUS (BULBO VERMELHO), ACABAMENTO NATURAL, 1/2" - 15 MM</t>
  </si>
  <si>
    <t>40607</t>
  </si>
  <si>
    <t>CANOPLA ACABAMENTO CROMADO PARA INSTAL SPRINKLER, SOB FORRO, 15 MM</t>
  </si>
  <si>
    <t xml:space="preserve">Suportes diversos para tubos </t>
  </si>
  <si>
    <t>SUPORTE PARA TUBO</t>
  </si>
  <si>
    <t>Parafusos diversos</t>
  </si>
  <si>
    <t>Projeto</t>
  </si>
  <si>
    <t>Desmontagem parcial de trechos da hidráulica SPK  (montador + ajudante)</t>
  </si>
  <si>
    <t>AUXILIAR DE ENCANADOR OU BOMBEIRO HIDRÁULICO COM ENCARGOS COMPLEMENTAR + 50% - fora do horário de expediente</t>
  </si>
  <si>
    <t>ENCANADOR OU BOMBEIRO HIDRÁULICO COM ENCARGOS COMPLEMENTARES + 50% - fora do horário de expediente</t>
  </si>
  <si>
    <t xml:space="preserve">Desmontagem das bombas SPK existentes </t>
  </si>
  <si>
    <t xml:space="preserve">Montagem e interligação dos trechos da hidráulica SPK </t>
  </si>
  <si>
    <t>PINTURA TUBULAÇÃO</t>
  </si>
  <si>
    <t>FUNDO ANTICORROSIVO A BASE DE OXIDO DE FERRO (ZARCAO), DUAS DEMAOS</t>
  </si>
  <si>
    <t>PINTURA ESMALTE ALTO BRILHO, DUAS DEMAOS, SOBRE SUPERFICIE METALICA</t>
  </si>
  <si>
    <t>TRANSPORTE HORIZONTAL DE TUBOS E CONEXÕES DE AÇO CARBONO MANUAL</t>
  </si>
  <si>
    <t>ELABORAÇÃO DE AS BUILT DE SISTEMA DE INCENDIO</t>
  </si>
  <si>
    <t>DESENHISTA PROJETISTA COM ENCARGOS COMPLEMENTARES</t>
  </si>
  <si>
    <t>DESENHISTA TECNICO AUXILIAR (HORISTA)</t>
  </si>
  <si>
    <t>Senado</t>
  </si>
  <si>
    <t>CNMP</t>
  </si>
  <si>
    <t>TST</t>
  </si>
  <si>
    <t>STF</t>
  </si>
  <si>
    <t>Manutenção nível 1 e 2 para Extintor de incêndio com carga de PQS – 4kg - BC, com recarga</t>
  </si>
  <si>
    <t>Manutenção nível 1 e 2 para Extintor de incêndio com carga de PQS – 6kg - ABC, com recarga</t>
  </si>
  <si>
    <t>Manutenção nível 1 e 2 para Extintor de incêndio com carga de PQS – 4kg – ABC</t>
  </si>
  <si>
    <t>Manutenção nível 1 e 2 para Extintor de incêndio com carga de Água pressurizada – 10 litros, com recarga</t>
  </si>
  <si>
    <r>
      <t>Manutenção nível 1 e 2 Extintor de incêndio com carga de CO</t>
    </r>
    <r>
      <rPr>
        <b/>
        <vertAlign val="subscript"/>
        <sz val="12"/>
        <rFont val="Times New Roman"/>
        <family val="1"/>
      </rPr>
      <t xml:space="preserve">2 </t>
    </r>
    <r>
      <rPr>
        <b/>
        <sz val="12"/>
        <rFont val="Times New Roman"/>
        <family val="1"/>
      </rPr>
      <t>– 6kg, com recarga</t>
    </r>
  </si>
  <si>
    <t>Teste hidrostático para Extintor de incêndio com carga de PQS – 4kg - BC</t>
  </si>
  <si>
    <t>Teste hidrostático para Extintor de incêndio com carga de PQS – 6kg - ABC</t>
  </si>
  <si>
    <t>Teste hidrostático para Extintor de incêndio com carga de PQS – 4kg – ABC</t>
  </si>
  <si>
    <t>Teste hidrostático para Extintor de incêndio com carga de Água pressurizada – 10 litros</t>
  </si>
  <si>
    <r>
      <t>Teste hidrostático Extintor de incêndio com carga de CO</t>
    </r>
    <r>
      <rPr>
        <b/>
        <vertAlign val="subscript"/>
        <sz val="12"/>
        <rFont val="Times New Roman"/>
        <family val="1"/>
      </rPr>
      <t xml:space="preserve">2 </t>
    </r>
    <r>
      <rPr>
        <b/>
        <sz val="12"/>
        <rFont val="Times New Roman"/>
        <family val="1"/>
      </rPr>
      <t>– 6kg</t>
    </r>
  </si>
  <si>
    <t>Teste hidrostático de mangueira de incêndio com emissão de relatório</t>
  </si>
  <si>
    <t>94991</t>
  </si>
  <si>
    <t>EXECUÇÃO DE PASSEIO (CALÇADA) OU PISO DE CONCRETO COM CONCRETO MOLDADO IN LOCO, USINADO, ACABAMENTO CONVENCIONAL, NÃO ARMADO. AF_08/2022</t>
  </si>
  <si>
    <t>2692</t>
  </si>
  <si>
    <t>DESMOLDANTE PROTETOR PARA FORMAS DE MADEIRA, DE BASE OLEOSA EMULSIONADA EM AGUA</t>
  </si>
  <si>
    <t>0,0213000</t>
  </si>
  <si>
    <t>4509</t>
  </si>
  <si>
    <t>SARRAFO *2,5 X 10* CM EM PINUS, MISTA OU EQUIVALENTE DA REGIAO - BRUTA</t>
  </si>
  <si>
    <t>3,1250000</t>
  </si>
  <si>
    <t>4517</t>
  </si>
  <si>
    <t>SARRAFO *2,5 X 7,5* CM EM PINUS, MISTA OU EQUIVALENTE DA REGIAO - BRUTA</t>
  </si>
  <si>
    <t>2,5000000</t>
  </si>
  <si>
    <t>5068</t>
  </si>
  <si>
    <t>PREGO DE ACO POLIDO COM CABECA 17 X 21 (2 X 11)</t>
  </si>
  <si>
    <t>0,2994000</t>
  </si>
  <si>
    <t>34492</t>
  </si>
  <si>
    <t>CONCRETO USINADO BOMBEAVEL, CLASSE DE RESISTENCIA C20, COM BRITA 0 E 1, SLUMP = 100 +/- 20 MM, EXCLUI SERVICO DE BOMBEAMENTO (NBR 8953)</t>
  </si>
  <si>
    <t>1,2315000</t>
  </si>
  <si>
    <t>88262</t>
  </si>
  <si>
    <t>CARPINTEIRO DE FORMAS COM ENCARGOS COMPLEMENTARES</t>
  </si>
  <si>
    <t>1,6268000</t>
  </si>
  <si>
    <t>0,1560000</t>
  </si>
  <si>
    <t>1,7828000</t>
  </si>
  <si>
    <t>LASTRO DE CONCRETO MAGRO, APLICADO EM PISOS, LAJES SOBRE SOLO OU RADIER, ESPESSURA DE 5CM</t>
  </si>
  <si>
    <t>0,2718000</t>
  </si>
  <si>
    <t>0,0741000</t>
  </si>
  <si>
    <t>94968</t>
  </si>
  <si>
    <t>CONCRETO MAGRO PARA LASTRO, TRAÇO 1:4,5:4,5 (EM MASSA SECA DE CIMENTO/ AREIA MÉDIA/ BRITA 1) - PREPARO MECÂNICO COM BETONEIRA 600L</t>
  </si>
  <si>
    <t>0,0565000</t>
  </si>
  <si>
    <t>LASTRO COM MATERIAL GRANULAR (PEDRA BRITADA N.2), APLICADO EM PISOS OU LAJES SOBRE SOLO, ESPESSURA DE *10 CM*</t>
  </si>
  <si>
    <t>4718</t>
  </si>
  <si>
    <t>PEDRA BRITADA N. 2 (19 A 38 MM) POSTO PEDREIRA/FORNECEDOR, SEM FRETE</t>
  </si>
  <si>
    <t>1,1300000</t>
  </si>
  <si>
    <t>1,0300000</t>
  </si>
  <si>
    <t>0,3430000</t>
  </si>
  <si>
    <t>91277</t>
  </si>
  <si>
    <t>PLACA VIBRATÓRIA REVERSÍVEL COM MOTOR 4 TEMPOS A GASOLINA, FORÇA CENTRÍFUGA DE 25 KN (2500 KGF), POTÊNCIA 5,5 CV - CHP DIURNO.</t>
  </si>
  <si>
    <t>0,0320000</t>
  </si>
  <si>
    <t>91278</t>
  </si>
  <si>
    <t xml:space="preserve">PLACA VIBRATÓRIA REVERSÍVEL COM MOTOR 4 TEMPOS A GASOLINA, FORÇA CENTRÍFUGA DE 25 KN (2500 KGF), POTÊNCIA 5,5 CV - CHI DIURNO. </t>
  </si>
  <si>
    <t>EXECUÇÃO DE PISO INDUSTRIAL DE CONCRETO ARMADO, FCK = 20 MPA, ESPESSURA DE 12CM</t>
  </si>
  <si>
    <t>0,0513330</t>
  </si>
  <si>
    <t>5069</t>
  </si>
  <si>
    <t>PREGO DE ACO POLIDO COM CABECA 17 X 27 (2 1/2 X 11)</t>
  </si>
  <si>
    <t>0,0017700</t>
  </si>
  <si>
    <t>0,1271570</t>
  </si>
  <si>
    <t>42409</t>
  </si>
  <si>
    <t>AGENTE DE CURA, PROTETOR DA EVAPORACAO DA AGUA DE HIDRATACAO DO CONCRETO</t>
  </si>
  <si>
    <t>43614</t>
  </si>
  <si>
    <t>TABUA NAO APARELHADA *2,5 X 15* CM, EM MACARANDUBA, ANGELIM OU EQUIVALENTE DA REGIAO - BRUTA</t>
  </si>
  <si>
    <t>0,0641670</t>
  </si>
  <si>
    <t>0,0320060</t>
  </si>
  <si>
    <t>0,0651990</t>
  </si>
  <si>
    <t>0,0951470</t>
  </si>
  <si>
    <t>95282</t>
  </si>
  <si>
    <t>DESEMPENADEIRA DE CONCRETO, PESO DE 78 KG, 4 PÁS, MOTOR A GASOLINA, POTÊNCIA 5,5 HP - CHP DIURNO. AF_05/2023</t>
  </si>
  <si>
    <t>0,0042950</t>
  </si>
  <si>
    <t>97090</t>
  </si>
  <si>
    <t>ARMAÇÃO PARA EXECUÇÃO DE RADIER, PISO DE CONCRETO OU LAJE SOBRE SOLO, COM USO DE TELA Q-138. AF_09/2021</t>
  </si>
  <si>
    <t>2,2000000</t>
  </si>
  <si>
    <t>97113</t>
  </si>
  <si>
    <t>APLICAÇÃO DE LONA PLÁSTICA PARA EXECUÇÃO DE PAVIMENTOS DE CONCRETO. AF_04/2022</t>
  </si>
  <si>
    <t>97115</t>
  </si>
  <si>
    <t>APLICAÇÃO DE GRAXA EM BARRAS DE TRANSFERÊNCIA PARA EXECUÇÃO DE PAVIMENTO DE CONCRETO. AF_04/2022</t>
  </si>
  <si>
    <t>0,0233730</t>
  </si>
  <si>
    <t>97116</t>
  </si>
  <si>
    <t>BARRAS DE TRANSFERÊNCIA, AÇO CA-25 DE 16,0 MM, PARA EXECUÇÃO DE PAVIMENTO DE CONCRETO  FORNECIMENTO E INSTALAÇÃO. AF_04/2022</t>
  </si>
  <si>
    <t>0,5260000</t>
  </si>
  <si>
    <t>COMPACTAÇÃO MECÂNICA DE SOLO PARA EXECUÇÃO DE RADIER, PISO DE CONCRETO OU LAJE SOBRE SOLO, COM COMPACTADOR DE SOLOS A PERCUSSÃO</t>
  </si>
  <si>
    <t>95264</t>
  </si>
  <si>
    <t>COMPACTADOR DE SOLOS DE PERCUSÃO (SOQUETE) COM MOTOR A GASOLINA, POTÊNCIA 3 CV - CHP DIURNO. AF_09/2016</t>
  </si>
  <si>
    <t>95265</t>
  </si>
  <si>
    <t>COMPACTADOR DE SOLOS DE PERCUSÃO (SOQUETE) COM MOTOR A GASOLINA, POTÊNCIA 3 CV - CHI DIURNO. AF_09/2016</t>
  </si>
  <si>
    <t>0,0420000</t>
  </si>
  <si>
    <t>PISO EM PEDRA PORTUGUESA ASSENTADO SOBRE ARGAMASSA SECA DE CIMENTO E AREIA, REJUNTADO COM CIMENTO</t>
  </si>
  <si>
    <t>366</t>
  </si>
  <si>
    <t>AREIA FINA - POSTO JAZIDA/FORNECEDOR (RETIRADO NA JAZIDA, SEM TRANSPORTE)</t>
  </si>
  <si>
    <t>367</t>
  </si>
  <si>
    <t>AREIA GROSSA - POSTO JAZIDA/FORNECEDOR (RETIRADO NA JAZIDA, SEM TRANSPORTE)</t>
  </si>
  <si>
    <t>0,0860000</t>
  </si>
  <si>
    <t>37,0700000</t>
  </si>
  <si>
    <t>4708</t>
  </si>
  <si>
    <t>PEDRA PORTUGUESA  OU PETIT PAVE, BRANCA OU PRETA</t>
  </si>
  <si>
    <t>88260</t>
  </si>
  <si>
    <t>CALCETEIRO COM ENCARGOS COMPLEMENTARES</t>
  </si>
  <si>
    <t>0,8420000</t>
  </si>
  <si>
    <t>0,4210000</t>
  </si>
  <si>
    <t>98524</t>
  </si>
  <si>
    <t>LIMPEZA MANUAL DE VEGETAÇÃO EM TERRENO COM ENXADA</t>
  </si>
  <si>
    <t>0,0718000</t>
  </si>
  <si>
    <t>MAO DE OBRA - Engenheiro Pleno com encargos complementares</t>
  </si>
  <si>
    <t>90769</t>
  </si>
  <si>
    <t>MAO DE OBRA - Arquiteto Pleno com encargos complementares</t>
  </si>
  <si>
    <t>88266</t>
  </si>
  <si>
    <t>MAO DE OBRA - Técnico eletrotécnico, eletrônico e demais especialidades com encargos complementares</t>
  </si>
  <si>
    <t>MAO DE OBRA - Oficial (Pedreiro, Serralheiro, ladrilheiro, carpinteiro, armador, eletricista, marceneiro, serralheiro, soldador, gesseiro, montador, pintor, impermeabilizador e vidraceiro) com encargos complementares</t>
  </si>
  <si>
    <t>88252</t>
  </si>
  <si>
    <t>MAO DE OBRA -  Ajudante geral com encargos complementares</t>
  </si>
  <si>
    <t>MAO DE OBRA - Marceneiro especializado em manutenção de móveis - pequenos reparos e ajustes - com encargos complementares</t>
  </si>
  <si>
    <t>ITEM</t>
  </si>
  <si>
    <t>UNID.</t>
  </si>
  <si>
    <t>QUANT.</t>
  </si>
  <si>
    <t>PREÇO UNITÁRIO (R$)</t>
  </si>
  <si>
    <t>PREÇO TOTAL (R$)</t>
  </si>
  <si>
    <t>CÓDIGO DA COMPOSIÇÃO</t>
  </si>
  <si>
    <t>TOTAL CUSTOS DIRETOS  (item 1 a 4)</t>
  </si>
  <si>
    <t>R$</t>
  </si>
  <si>
    <t>BDI DIFERENCIADO MÁXIMO (22,39%)</t>
  </si>
  <si>
    <t>TOTAL CUSTOS DIRETOS  (item 5)</t>
  </si>
  <si>
    <t>BDI (28,36%)</t>
  </si>
  <si>
    <t>TOTAL GERAL ITEM 5</t>
  </si>
  <si>
    <t>BDI DIFERENCIADO MATERIAIS E EQUIPAMENTOS (PEÇAS)</t>
  </si>
  <si>
    <t>AC</t>
  </si>
  <si>
    <t>S+G</t>
  </si>
  <si>
    <t>R</t>
  </si>
  <si>
    <t>DF</t>
  </si>
  <si>
    <t>I</t>
  </si>
  <si>
    <t>COFINS</t>
  </si>
  <si>
    <t>PIS</t>
  </si>
  <si>
    <t>ISS</t>
  </si>
  <si>
    <t>BDI</t>
  </si>
  <si>
    <t>ANEXO II –</t>
  </si>
  <si>
    <r>
      <rPr>
        <b/>
        <sz val="18"/>
        <rFont val="Times New Roman"/>
        <family val="1"/>
      </rPr>
      <t xml:space="preserve"> DEMONSTRATIVO PREÇO ESTIMATIVO – </t>
    </r>
    <r>
      <rPr>
        <b/>
        <u/>
        <sz val="18"/>
        <rFont val="Times New Roman"/>
        <family val="1"/>
      </rPr>
      <t>MANUTENÇÃO PREVENTIVA</t>
    </r>
  </si>
  <si>
    <t>PLANILHA DE CUSTOS E FORMAÇÃO DE PREÇOS</t>
  </si>
  <si>
    <t>MANUTENÇÃO PREDIAL</t>
  </si>
  <si>
    <t xml:space="preserve">Nº do processo: </t>
  </si>
  <si>
    <t>Licitação nº:</t>
  </si>
  <si>
    <t>A</t>
  </si>
  <si>
    <t>Data de apresentação da proposta (dia/mês/ano)</t>
  </si>
  <si>
    <t>B</t>
  </si>
  <si>
    <t>Minicípio/UF</t>
  </si>
  <si>
    <t>Brasília/DF</t>
  </si>
  <si>
    <t>C</t>
  </si>
  <si>
    <t>Ano do Acordo, Convenção ou Dissídio Coletivo</t>
  </si>
  <si>
    <t>D</t>
  </si>
  <si>
    <t>Sindicato</t>
  </si>
  <si>
    <t>E</t>
  </si>
  <si>
    <t>Mão de Obra vinculada à contratação</t>
  </si>
  <si>
    <t>Tipo de Serviço</t>
  </si>
  <si>
    <t>Manutenção predial</t>
  </si>
  <si>
    <t>Classificação brasileira de Ocupações (CBO)</t>
  </si>
  <si>
    <t>Salário Normativo da categoria profissional</t>
  </si>
  <si>
    <t>Categoria profissional</t>
  </si>
  <si>
    <t>Data -base da categoria (dia/mês/ano)</t>
  </si>
  <si>
    <t>Engenheiro</t>
  </si>
  <si>
    <t>Encarregado</t>
  </si>
  <si>
    <t>Técnico</t>
  </si>
  <si>
    <t>Eletricista</t>
  </si>
  <si>
    <t>Bombeiro</t>
  </si>
  <si>
    <t>Auxiliar</t>
  </si>
  <si>
    <t>COMPOSIÇÃO DA REMUNERAÇÃO</t>
  </si>
  <si>
    <t>Alíquotas</t>
  </si>
  <si>
    <t>Valor R$</t>
  </si>
  <si>
    <t>Salário Base</t>
  </si>
  <si>
    <t>Adicional de Periculosidade</t>
  </si>
  <si>
    <t>Adicional de Insalubridade</t>
  </si>
  <si>
    <t>Adicional noturno</t>
  </si>
  <si>
    <t>Adicional de hora noturna reduzida</t>
  </si>
  <si>
    <t>F</t>
  </si>
  <si>
    <t>Adicional de hora extra no feriado trabalhado</t>
  </si>
  <si>
    <t>TOTAL DA REMUNERAÇÃO - Módulo 1</t>
  </si>
  <si>
    <t>ENCARGOS E BENEFÍCIOS ANUAIS, MENSAIS E DIÁRIOS</t>
  </si>
  <si>
    <t>13º SALÁRIO E ADICIONAL DE FÉRIAS</t>
  </si>
  <si>
    <t>%</t>
  </si>
  <si>
    <t>13º Salário</t>
  </si>
  <si>
    <t>Adicional de Férias</t>
  </si>
  <si>
    <t>Incidência do Submódulo 2.2 (A+B)</t>
  </si>
  <si>
    <t>Total submódulo 2.1</t>
  </si>
  <si>
    <t>ENCARGOS PREVIDENCIÁRIOS (GPSs), FUNDO DE GARANTIA POR TEMPO DE SERVIÇOS(FGTS) E OUTRAS CONTRIBUIÇÕES</t>
  </si>
  <si>
    <t>INSS</t>
  </si>
  <si>
    <t>Salário Educação</t>
  </si>
  <si>
    <t>SAT</t>
  </si>
  <si>
    <t>SESC ou SESI</t>
  </si>
  <si>
    <t>SENAI - SENAC</t>
  </si>
  <si>
    <t>SEBRAE</t>
  </si>
  <si>
    <t>G</t>
  </si>
  <si>
    <t>INCRA</t>
  </si>
  <si>
    <t>FGTS</t>
  </si>
  <si>
    <t>Total submódulo 2.2</t>
  </si>
  <si>
    <t>BENEFÍCIOS MENSAIS E DIÁRIOS</t>
  </si>
  <si>
    <t xml:space="preserve">Transporte </t>
  </si>
  <si>
    <t>Auxílio Alimentação</t>
  </si>
  <si>
    <t xml:space="preserve">Seguro de vida, invalidez e funeral </t>
  </si>
  <si>
    <t>Seconci</t>
  </si>
  <si>
    <t>Total submódulo 2.3</t>
  </si>
  <si>
    <t>TOTAL MÓDULO 2</t>
  </si>
  <si>
    <t>PROVISÃO PARA RESCISÃO</t>
  </si>
  <si>
    <t>Aviso prévio trabalhado</t>
  </si>
  <si>
    <t>Incid submódulo 2.2 s/ aviso prévio trabalhado (A)</t>
  </si>
  <si>
    <t>-</t>
  </si>
  <si>
    <t>Aviso Prévio indenizado</t>
  </si>
  <si>
    <t>Incidência do FGTS s/ aviso prévio indenizado (D)</t>
  </si>
  <si>
    <t>Total Módulo 3</t>
  </si>
  <si>
    <t>REPOSIÇÃO DE PROFISSIONAL AUSENTE</t>
  </si>
  <si>
    <t>4.1</t>
  </si>
  <si>
    <t>AUSÊNCIAS LEGAIS</t>
  </si>
  <si>
    <t>Férias (remuneração do substituto)</t>
  </si>
  <si>
    <t>Ausências legais</t>
  </si>
  <si>
    <t>Licença paternidade</t>
  </si>
  <si>
    <t>Ausência por acidente de trabalho</t>
  </si>
  <si>
    <t>Afastamento maternidade</t>
  </si>
  <si>
    <t>Subtotal</t>
  </si>
  <si>
    <t>Incidência do submódulo 2.2</t>
  </si>
  <si>
    <t>Total Submódulo 4.1</t>
  </si>
  <si>
    <t>4.2</t>
  </si>
  <si>
    <t>INTRAJORNADA</t>
  </si>
  <si>
    <t>Intervalo para repouso ou alimentação</t>
  </si>
  <si>
    <t>Total Submódulo 4.2</t>
  </si>
  <si>
    <t>TOTAL MÓDULO 4</t>
  </si>
  <si>
    <t>INSUMOS DIVERSOS</t>
  </si>
  <si>
    <t>Uniforme</t>
  </si>
  <si>
    <t>Materiais de Consumo</t>
  </si>
  <si>
    <t>Equipamentos (depreciação)</t>
  </si>
  <si>
    <t>EPI's</t>
  </si>
  <si>
    <t xml:space="preserve">TOTAL DE INSUMOS - Módulo 5 </t>
  </si>
  <si>
    <t>SOMATÓRIO MÓDULOS 1, 2, 3, 4 E 5</t>
  </si>
  <si>
    <t>CUSTOS INDIRETOS, TRIBUTOS E LUCRO</t>
  </si>
  <si>
    <t>Custos Indiretos</t>
  </si>
  <si>
    <t>Lucro</t>
  </si>
  <si>
    <t>Fator F</t>
  </si>
  <si>
    <t>Preço (P)</t>
  </si>
  <si>
    <t xml:space="preserve">Tributos Federais </t>
  </si>
  <si>
    <t>Tributos Federais  - ISS</t>
  </si>
  <si>
    <t>TOTAL MÓDULO 6</t>
  </si>
  <si>
    <t>QUADRO RESUMO</t>
  </si>
  <si>
    <t>MÃO DE OBRA VINCULADA A EXECUÇÃO CONTRATUAL (VALOR POR EMPREGADO)</t>
  </si>
  <si>
    <t>VALOR TOTAL POR EMPREGADO (mês)</t>
  </si>
  <si>
    <t>QUADRO RESUMO DE VALORES DE MAO DE OBRA</t>
  </si>
  <si>
    <t>VALOR TOTAL MENSAL POR EMPREGADO</t>
  </si>
  <si>
    <t>VALOR TOTAL MENSAL</t>
  </si>
  <si>
    <t>VALOR TOTAL ANUAL</t>
  </si>
  <si>
    <t>OBJETO: Contratação de empresa especializada para prestação de serviços de gestão, manutenção predial preventiva e corretiva nos sistemas, equipamentos e instalações prediais dos imóveis do Confea, nos termos e condições constantes do edital e seus anexos</t>
  </si>
  <si>
    <t>Sinduscon/DF 
Sticombe/DF</t>
  </si>
  <si>
    <t>Sinduscon/DF 
Senge/DF</t>
  </si>
  <si>
    <t>Multa do FGTS s/ aviso prévio indenizado</t>
  </si>
  <si>
    <t>Multa do FGTS s/ aviso prévio trabalhado</t>
  </si>
  <si>
    <t>Depreciação</t>
  </si>
  <si>
    <t>Manutenção</t>
  </si>
  <si>
    <t>Valor por posto</t>
  </si>
  <si>
    <t>bisn</t>
  </si>
  <si>
    <t>Engenheiro Civil</t>
  </si>
  <si>
    <t>40h/mês</t>
  </si>
  <si>
    <t>Valor hora</t>
  </si>
  <si>
    <t>Engenheiro Mecânico</t>
  </si>
  <si>
    <t>15h/mês</t>
  </si>
  <si>
    <t>Mão de obra não residente</t>
  </si>
  <si>
    <t>Estimativa</t>
  </si>
  <si>
    <t>Valor mensal</t>
  </si>
  <si>
    <t>Eletroshock</t>
  </si>
  <si>
    <t>Cecin</t>
  </si>
  <si>
    <t>Eletrogomes</t>
  </si>
  <si>
    <t>Damasco</t>
  </si>
  <si>
    <t>WL</t>
  </si>
  <si>
    <t>Sensor para torneira automatica de banheiro Deca 1180 com canopla</t>
  </si>
  <si>
    <t>2.82</t>
  </si>
  <si>
    <t>MATERIAIS DE REPOSIÇÃO</t>
  </si>
  <si>
    <t xml:space="preserve">TOTAL GERAL ITENS </t>
  </si>
  <si>
    <t>2.0</t>
  </si>
  <si>
    <t>3.0</t>
  </si>
  <si>
    <t>3.86.1</t>
  </si>
  <si>
    <t>3.86.2</t>
  </si>
  <si>
    <t>3.86.3</t>
  </si>
  <si>
    <t>3.86.4</t>
  </si>
  <si>
    <t>3.86.5</t>
  </si>
  <si>
    <t>3.86.6</t>
  </si>
  <si>
    <t>3.86.7</t>
  </si>
  <si>
    <t>3.86.8</t>
  </si>
  <si>
    <t>3.86.9</t>
  </si>
  <si>
    <t>3.86.10</t>
  </si>
  <si>
    <t>3.86.11</t>
  </si>
  <si>
    <t>3.86.12</t>
  </si>
  <si>
    <t>3.86.13</t>
  </si>
  <si>
    <t>3.86.14</t>
  </si>
  <si>
    <t>3.86.15</t>
  </si>
  <si>
    <t>3.86.16</t>
  </si>
  <si>
    <t>3.86.17</t>
  </si>
  <si>
    <t>3.86.18</t>
  </si>
  <si>
    <t>3.86.19</t>
  </si>
  <si>
    <t>3.86.20</t>
  </si>
  <si>
    <t>3.86.21</t>
  </si>
  <si>
    <t>3.86.22</t>
  </si>
  <si>
    <t>3.86.23</t>
  </si>
  <si>
    <t>3.86.24</t>
  </si>
  <si>
    <t>3.86.25</t>
  </si>
  <si>
    <t>3.86.26</t>
  </si>
  <si>
    <t>3.86.27</t>
  </si>
  <si>
    <t>3.86.28</t>
  </si>
  <si>
    <t>3.86.29</t>
  </si>
  <si>
    <t>3.86.30</t>
  </si>
  <si>
    <t>3.86.31</t>
  </si>
  <si>
    <t>3.86.32</t>
  </si>
  <si>
    <t>3.86.33</t>
  </si>
  <si>
    <t>3.86.34</t>
  </si>
  <si>
    <t>3.86.35</t>
  </si>
  <si>
    <t>3.110</t>
  </si>
  <si>
    <t>TOTAL GERAL  (ITENS 2 E 3)</t>
  </si>
  <si>
    <t xml:space="preserve">Data:  </t>
  </si>
  <si>
    <t>Item</t>
  </si>
  <si>
    <t>Valor máximo mensal estimado</t>
  </si>
  <si>
    <t>Valor máximo anual estimado</t>
  </si>
  <si>
    <t>MANUTENÇÃO PREVENTIVA</t>
  </si>
  <si>
    <t>(Mão de obra fixa)</t>
  </si>
  <si>
    <t>Valor fixo mensal</t>
  </si>
  <si>
    <t>Pagos mensalmente por demanda</t>
  </si>
  <si>
    <t>Valor total estimado (ANUAL)</t>
  </si>
  <si>
    <t>(materiais reposição e Serviços Eventuais)</t>
  </si>
  <si>
    <t>Valor total estimado (24 MESES)</t>
  </si>
  <si>
    <t>VALOR TOTAL 24 MESES</t>
  </si>
  <si>
    <t>PLANILHA SINTÉTICA DO ORÇAMENTO
MANUTENÇÃO CORRETIVA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</si>
</sst>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"/>
    <numFmt numFmtId="166" formatCode="0.0%"/>
    <numFmt numFmtId="167" formatCode="_(* #,##0.00_);_(* \(#,##0.00\);_(* &quot;-&quot;??_);_(@_)"/>
    <numFmt numFmtId="168" formatCode="#,##0.00000"/>
    <numFmt numFmtId="169" formatCode="#,##0.000000"/>
    <numFmt numFmtId="170" formatCode="#,##0.0000000"/>
    <numFmt numFmtId="171" formatCode="0.0000"/>
    <numFmt numFmtId="172" formatCode="0.00000"/>
    <numFmt numFmtId="173" formatCode="0.000000"/>
    <numFmt numFmtId="174" formatCode="#,##0.0000"/>
    <numFmt numFmtId="175" formatCode="_(&quot;R$ &quot;* #,##0.00_);_(&quot;R$ &quot;* \(#,##0.00\);_(&quot;R$ &quot;* &quot;-&quot;??_);_(@_)"/>
    <numFmt numFmtId="176" formatCode="_([$€]* #,##0.00_);_([$€]* \(#,##0.00\);_([$€]* &quot;-&quot;??_);_(@_)"/>
    <numFmt numFmtId="177" formatCode="_-* #,##0.00\ _D_M_-;\-* #,##0.00\ _D_M_-;_-* &quot;-&quot;??\ _D_M_-;_-@_-"/>
    <numFmt numFmtId="178" formatCode="&quot; R$ &quot;#,##0.00\ ;&quot; R$ (&quot;#,##0.00\);&quot; R$ -&quot;#\ ;@\ "/>
    <numFmt numFmtId="179" formatCode="#,##0.00\ ;&quot; (&quot;#,##0.00\);&quot; -&quot;#\ ;@\ "/>
    <numFmt numFmtId="180" formatCode="_-* #,##0.00_-;\-* #,##0.00_-;_-* \-??_-;_-@_-"/>
    <numFmt numFmtId="181" formatCode="0.000%"/>
  </numFmts>
  <fonts count="70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FF0000"/>
      <name val="Arial Narrow"/>
      <family val="2"/>
    </font>
    <font>
      <b/>
      <sz val="12"/>
      <color indexed="9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color rgb="FFFF0000"/>
      <name val="Times New Roman"/>
      <family val="1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strike/>
      <sz val="12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0"/>
      <color indexed="8"/>
      <name val="Arial2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vertAlign val="subscript"/>
      <sz val="12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Calibri"/>
      <family val="2"/>
      <scheme val="minor"/>
    </font>
    <font>
      <b/>
      <sz val="24"/>
      <color theme="1"/>
      <name val="Times New Roman"/>
      <family val="1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10"/>
      <name val="Geneva"/>
    </font>
    <font>
      <u/>
      <sz val="18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b/>
      <sz val="14"/>
      <color rgb="FFFF0000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8"/>
      </patternFill>
    </fill>
    <fill>
      <patternFill patternType="solid">
        <fgColor theme="8" tint="-0.249977111117893"/>
        <bgColor indexed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FBFBF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4">
    <xf numFmtId="0" fontId="0" fillId="0" borderId="0"/>
    <xf numFmtId="43" fontId="3" fillId="0" borderId="0" applyFont="0" applyFill="0" applyBorder="0" applyAlignment="0" applyProtection="0"/>
    <xf numFmtId="0" fontId="9" fillId="0" borderId="0"/>
    <xf numFmtId="0" fontId="10" fillId="0" borderId="0"/>
    <xf numFmtId="0" fontId="9" fillId="0" borderId="0"/>
    <xf numFmtId="0" fontId="9" fillId="0" borderId="0"/>
    <xf numFmtId="9" fontId="3" fillId="0" borderId="0" applyFont="0" applyFill="0" applyBorder="0" applyAlignment="0" applyProtection="0"/>
    <xf numFmtId="0" fontId="9" fillId="0" borderId="0"/>
    <xf numFmtId="0" fontId="9" fillId="0" borderId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4" fillId="0" borderId="0"/>
    <xf numFmtId="0" fontId="34" fillId="0" borderId="0"/>
    <xf numFmtId="176" fontId="9" fillId="0" borderId="0" applyFont="0" applyFill="0" applyBorder="0" applyAlignment="0" applyProtection="0"/>
    <xf numFmtId="0" fontId="35" fillId="0" borderId="0"/>
    <xf numFmtId="0" fontId="35" fillId="0" borderId="0"/>
    <xf numFmtId="175" fontId="34" fillId="0" borderId="0" applyFont="0" applyFill="0" applyBorder="0" applyAlignment="0" applyProtection="0"/>
    <xf numFmtId="164" fontId="9" fillId="0" borderId="0" applyFont="0" applyFill="0" applyBorder="0" applyAlignment="0" applyProtection="0"/>
    <xf numFmtId="178" fontId="37" fillId="0" borderId="0">
      <alignment horizontal="justify" vertical="top"/>
    </xf>
    <xf numFmtId="44" fontId="9" fillId="0" borderId="0" applyFont="0" applyFill="0" applyBorder="0" applyAlignment="0" applyProtection="0"/>
    <xf numFmtId="0" fontId="37" fillId="0" borderId="0">
      <alignment horizontal="justify"/>
    </xf>
    <xf numFmtId="0" fontId="38" fillId="0" borderId="0"/>
    <xf numFmtId="0" fontId="9" fillId="0" borderId="0"/>
    <xf numFmtId="0" fontId="34" fillId="0" borderId="0"/>
    <xf numFmtId="0" fontId="9" fillId="0" borderId="0"/>
    <xf numFmtId="0" fontId="34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7" fillId="0" borderId="0">
      <alignment horizontal="justify" vertical="top"/>
    </xf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25" borderId="0" applyNumberFormat="0" applyBorder="0" applyAlignment="0" applyProtection="0"/>
    <xf numFmtId="0" fontId="35" fillId="28" borderId="0" applyNumberFormat="0" applyBorder="0" applyAlignment="0" applyProtection="0"/>
    <xf numFmtId="0" fontId="35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35" borderId="0" applyNumberFormat="0" applyBorder="0" applyAlignment="0" applyProtection="0"/>
    <xf numFmtId="0" fontId="50" fillId="24" borderId="0" applyNumberFormat="0" applyBorder="0" applyAlignment="0" applyProtection="0"/>
    <xf numFmtId="0" fontId="51" fillId="36" borderId="39" applyNumberFormat="0" applyAlignment="0" applyProtection="0"/>
    <xf numFmtId="0" fontId="65" fillId="0" borderId="0"/>
    <xf numFmtId="0" fontId="52" fillId="37" borderId="40" applyNumberFormat="0" applyAlignment="0" applyProtection="0"/>
    <xf numFmtId="0" fontId="53" fillId="0" borderId="41" applyNumberFormat="0" applyFill="0" applyAlignment="0" applyProtection="0"/>
    <xf numFmtId="0" fontId="49" fillId="38" borderId="0" applyNumberFormat="0" applyBorder="0" applyAlignment="0" applyProtection="0"/>
    <xf numFmtId="0" fontId="49" fillId="39" borderId="0" applyNumberFormat="0" applyBorder="0" applyAlignment="0" applyProtection="0"/>
    <xf numFmtId="0" fontId="49" fillId="4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41" borderId="0" applyNumberFormat="0" applyBorder="0" applyAlignment="0" applyProtection="0"/>
    <xf numFmtId="0" fontId="54" fillId="27" borderId="39" applyNumberFormat="0" applyAlignment="0" applyProtection="0"/>
    <xf numFmtId="0" fontId="55" fillId="23" borderId="0" applyNumberFormat="0" applyBorder="0" applyAlignment="0" applyProtection="0"/>
    <xf numFmtId="0" fontId="56" fillId="42" borderId="0" applyNumberFormat="0" applyBorder="0" applyAlignment="0" applyProtection="0"/>
    <xf numFmtId="0" fontId="9" fillId="43" borderId="42" applyNumberFormat="0" applyAlignment="0" applyProtection="0"/>
    <xf numFmtId="9" fontId="9" fillId="0" borderId="0" applyFill="0" applyBorder="0" applyAlignment="0" applyProtection="0"/>
    <xf numFmtId="0" fontId="57" fillId="36" borderId="43" applyNumberFormat="0" applyAlignment="0" applyProtection="0"/>
    <xf numFmtId="180" fontId="9" fillId="0" borderId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44" applyNumberFormat="0" applyFill="0" applyAlignment="0" applyProtection="0"/>
    <xf numFmtId="0" fontId="62" fillId="0" borderId="45" applyNumberFormat="0" applyFill="0" applyAlignment="0" applyProtection="0"/>
    <xf numFmtId="0" fontId="63" fillId="0" borderId="46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47" applyNumberFormat="0" applyFill="0" applyAlignment="0" applyProtection="0"/>
  </cellStyleXfs>
  <cellXfs count="73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vertical="center" wrapText="1"/>
    </xf>
    <xf numFmtId="43" fontId="2" fillId="0" borderId="1" xfId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0" xfId="1" applyFont="1" applyBorder="1" applyAlignment="1">
      <alignment horizontal="center" vertical="center" wrapText="1"/>
    </xf>
    <xf numFmtId="43" fontId="14" fillId="0" borderId="1" xfId="1" quotePrefix="1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43" fontId="13" fillId="0" borderId="0" xfId="1" applyFont="1" applyBorder="1"/>
    <xf numFmtId="43" fontId="0" fillId="0" borderId="0" xfId="0" applyNumberFormat="1"/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wrapText="1"/>
    </xf>
    <xf numFmtId="49" fontId="17" fillId="0" borderId="0" xfId="0" applyNumberFormat="1" applyFont="1" applyAlignment="1">
      <alignment horizontal="center"/>
    </xf>
    <xf numFmtId="43" fontId="17" fillId="0" borderId="0" xfId="1" applyFont="1" applyAlignment="1">
      <alignment wrapText="1"/>
    </xf>
    <xf numFmtId="43" fontId="17" fillId="0" borderId="0" xfId="1" applyFont="1"/>
    <xf numFmtId="49" fontId="14" fillId="6" borderId="1" xfId="0" applyNumberFormat="1" applyFont="1" applyFill="1" applyBorder="1" applyAlignment="1">
      <alignment horizontal="center" vertical="center"/>
    </xf>
    <xf numFmtId="43" fontId="14" fillId="6" borderId="1" xfId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14" fillId="6" borderId="1" xfId="0" applyNumberFormat="1" applyFont="1" applyFill="1" applyBorder="1" applyAlignment="1">
      <alignment horizontal="center" vertical="center" wrapText="1"/>
    </xf>
    <xf numFmtId="43" fontId="14" fillId="6" borderId="1" xfId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4" fillId="6" borderId="1" xfId="4" applyFont="1" applyFill="1" applyBorder="1" applyAlignment="1">
      <alignment horizontal="center" vertical="center"/>
    </xf>
    <xf numFmtId="0" fontId="8" fillId="0" borderId="0" xfId="0" applyFont="1"/>
    <xf numFmtId="0" fontId="2" fillId="0" borderId="4" xfId="0" applyFont="1" applyBorder="1" applyAlignment="1">
      <alignment horizontal="center" vertical="center" wrapText="1"/>
    </xf>
    <xf numFmtId="4" fontId="20" fillId="0" borderId="0" xfId="3" applyNumberFormat="1" applyFont="1" applyAlignment="1">
      <alignment horizontal="left" vertical="center" wrapText="1"/>
    </xf>
    <xf numFmtId="0" fontId="20" fillId="0" borderId="0" xfId="3" applyFont="1" applyAlignment="1">
      <alignment horizontal="left" vertical="center" wrapText="1"/>
    </xf>
    <xf numFmtId="0" fontId="9" fillId="6" borderId="0" xfId="3" applyFont="1" applyFill="1" applyAlignment="1">
      <alignment vertical="center"/>
    </xf>
    <xf numFmtId="0" fontId="9" fillId="0" borderId="0" xfId="3" applyFont="1" applyAlignment="1">
      <alignment vertical="center"/>
    </xf>
    <xf numFmtId="0" fontId="20" fillId="0" borderId="0" xfId="0" applyFont="1" applyAlignment="1">
      <alignment horizontal="left" vertical="center"/>
    </xf>
    <xf numFmtId="4" fontId="21" fillId="0" borderId="0" xfId="8" applyNumberFormat="1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6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22" fillId="6" borderId="0" xfId="0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0" fontId="20" fillId="8" borderId="1" xfId="0" applyFont="1" applyFill="1" applyBorder="1" applyAlignment="1">
      <alignment horizontal="justify" vertical="center"/>
    </xf>
    <xf numFmtId="1" fontId="9" fillId="6" borderId="16" xfId="0" quotePrefix="1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justify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4" fontId="9" fillId="6" borderId="0" xfId="0" applyNumberFormat="1" applyFont="1" applyFill="1" applyAlignment="1">
      <alignment vertical="center" wrapText="1"/>
    </xf>
    <xf numFmtId="1" fontId="20" fillId="8" borderId="16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4" fontId="9" fillId="8" borderId="1" xfId="0" applyNumberFormat="1" applyFont="1" applyFill="1" applyBorder="1" applyAlignment="1">
      <alignment horizontal="center" vertical="center"/>
    </xf>
    <xf numFmtId="4" fontId="9" fillId="8" borderId="1" xfId="0" applyNumberFormat="1" applyFont="1" applyFill="1" applyBorder="1" applyAlignment="1">
      <alignment horizontal="right" vertical="center"/>
    </xf>
    <xf numFmtId="4" fontId="9" fillId="8" borderId="17" xfId="0" applyNumberFormat="1" applyFont="1" applyFill="1" applyBorder="1" applyAlignment="1">
      <alignment horizontal="center" vertical="center" wrapText="1"/>
    </xf>
    <xf numFmtId="166" fontId="9" fillId="0" borderId="0" xfId="6" applyNumberFormat="1" applyFont="1" applyAlignment="1">
      <alignment vertical="center" wrapText="1"/>
    </xf>
    <xf numFmtId="0" fontId="20" fillId="9" borderId="13" xfId="0" applyFont="1" applyFill="1" applyBorder="1" applyAlignment="1">
      <alignment vertical="center" wrapText="1"/>
    </xf>
    <xf numFmtId="0" fontId="20" fillId="9" borderId="14" xfId="0" applyFont="1" applyFill="1" applyBorder="1" applyAlignment="1">
      <alignment horizontal="right" vertical="center"/>
    </xf>
    <xf numFmtId="0" fontId="20" fillId="9" borderId="14" xfId="0" applyFont="1" applyFill="1" applyBorder="1" applyAlignment="1">
      <alignment horizontal="center" vertical="center"/>
    </xf>
    <xf numFmtId="4" fontId="20" fillId="9" borderId="14" xfId="0" applyNumberFormat="1" applyFont="1" applyFill="1" applyBorder="1" applyAlignment="1">
      <alignment vertical="center"/>
    </xf>
    <xf numFmtId="4" fontId="20" fillId="9" borderId="15" xfId="0" applyNumberFormat="1" applyFont="1" applyFill="1" applyBorder="1" applyAlignment="1">
      <alignment horizontal="center" vertical="center"/>
    </xf>
    <xf numFmtId="4" fontId="20" fillId="9" borderId="14" xfId="6" applyNumberFormat="1" applyFont="1" applyFill="1" applyBorder="1" applyAlignment="1">
      <alignment horizontal="right" vertical="center"/>
    </xf>
    <xf numFmtId="4" fontId="20" fillId="9" borderId="29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2" fontId="9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right" vertical="center" wrapText="1"/>
    </xf>
    <xf numFmtId="0" fontId="23" fillId="0" borderId="0" xfId="0" applyFont="1"/>
    <xf numFmtId="0" fontId="20" fillId="8" borderId="23" xfId="0" applyFont="1" applyFill="1" applyBorder="1" applyAlignment="1">
      <alignment horizontal="center" vertical="center" wrapText="1"/>
    </xf>
    <xf numFmtId="0" fontId="20" fillId="8" borderId="24" xfId="0" applyFont="1" applyFill="1" applyBorder="1" applyAlignment="1">
      <alignment horizontal="center" vertical="center" wrapText="1"/>
    </xf>
    <xf numFmtId="2" fontId="20" fillId="8" borderId="24" xfId="0" applyNumberFormat="1" applyFont="1" applyFill="1" applyBorder="1" applyAlignment="1">
      <alignment horizontal="center" vertical="center" wrapText="1"/>
    </xf>
    <xf numFmtId="4" fontId="20" fillId="8" borderId="24" xfId="0" applyNumberFormat="1" applyFont="1" applyFill="1" applyBorder="1" applyAlignment="1">
      <alignment horizontal="center" vertical="center" wrapText="1"/>
    </xf>
    <xf numFmtId="0" fontId="20" fillId="8" borderId="25" xfId="8" applyFont="1" applyFill="1" applyBorder="1" applyAlignment="1">
      <alignment horizontal="center" vertical="center" wrapText="1"/>
    </xf>
    <xf numFmtId="4" fontId="20" fillId="9" borderId="14" xfId="0" applyNumberFormat="1" applyFont="1" applyFill="1" applyBorder="1" applyAlignment="1">
      <alignment horizontal="right" vertical="center"/>
    </xf>
    <xf numFmtId="0" fontId="14" fillId="0" borderId="0" xfId="0" applyFont="1"/>
    <xf numFmtId="0" fontId="2" fillId="0" borderId="0" xfId="0" applyFont="1"/>
    <xf numFmtId="0" fontId="14" fillId="0" borderId="0" xfId="0" applyFont="1" applyAlignment="1">
      <alignment wrapText="1"/>
    </xf>
    <xf numFmtId="0" fontId="26" fillId="10" borderId="1" xfId="13" applyFont="1" applyFill="1" applyBorder="1" applyAlignment="1">
      <alignment horizontal="center" vertical="center" wrapText="1"/>
    </xf>
    <xf numFmtId="0" fontId="26" fillId="10" borderId="1" xfId="13" applyFont="1" applyFill="1" applyBorder="1" applyAlignment="1">
      <alignment horizontal="left" vertical="center" wrapText="1"/>
    </xf>
    <xf numFmtId="4" fontId="26" fillId="10" borderId="1" xfId="13" applyNumberFormat="1" applyFont="1" applyFill="1" applyBorder="1" applyAlignment="1">
      <alignment horizontal="center" vertical="center" wrapText="1"/>
    </xf>
    <xf numFmtId="0" fontId="26" fillId="0" borderId="1" xfId="13" applyFont="1" applyBorder="1" applyAlignment="1">
      <alignment horizontal="center" vertical="center" wrapText="1"/>
    </xf>
    <xf numFmtId="168" fontId="26" fillId="10" borderId="1" xfId="13" applyNumberFormat="1" applyFont="1" applyFill="1" applyBorder="1" applyAlignment="1">
      <alignment horizontal="center" vertical="center" wrapText="1"/>
    </xf>
    <xf numFmtId="169" fontId="26" fillId="10" borderId="1" xfId="13" applyNumberFormat="1" applyFont="1" applyFill="1" applyBorder="1" applyAlignment="1">
      <alignment horizontal="center" vertical="center" wrapText="1"/>
    </xf>
    <xf numFmtId="0" fontId="26" fillId="0" borderId="1" xfId="13" applyFont="1" applyBorder="1" applyAlignment="1">
      <alignment horizontal="left" vertical="center" wrapText="1"/>
    </xf>
    <xf numFmtId="169" fontId="26" fillId="0" borderId="1" xfId="13" applyNumberFormat="1" applyFont="1" applyBorder="1" applyAlignment="1">
      <alignment horizontal="center" vertical="center" wrapText="1"/>
    </xf>
    <xf numFmtId="170" fontId="26" fillId="10" borderId="1" xfId="1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13" applyFont="1" applyBorder="1" applyAlignment="1">
      <alignment horizontal="center" vertical="center" wrapText="1"/>
    </xf>
    <xf numFmtId="0" fontId="14" fillId="0" borderId="1" xfId="13" applyFont="1" applyBorder="1" applyAlignment="1">
      <alignment horizontal="left" vertical="center" wrapText="1"/>
    </xf>
    <xf numFmtId="43" fontId="14" fillId="0" borderId="1" xfId="1" applyFont="1" applyFill="1" applyBorder="1" applyAlignment="1">
      <alignment horizontal="center" vertical="center" wrapText="1"/>
    </xf>
    <xf numFmtId="10" fontId="20" fillId="9" borderId="14" xfId="6" applyNumberFormat="1" applyFont="1" applyFill="1" applyBorder="1" applyAlignment="1">
      <alignment horizontal="right" vertical="center"/>
    </xf>
    <xf numFmtId="4" fontId="20" fillId="8" borderId="1" xfId="0" applyNumberFormat="1" applyFont="1" applyFill="1" applyBorder="1" applyAlignment="1">
      <alignment horizontal="right" vertical="center"/>
    </xf>
    <xf numFmtId="0" fontId="20" fillId="0" borderId="30" xfId="0" applyFont="1" applyBorder="1" applyAlignment="1">
      <alignment vertical="center" wrapTex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4" fontId="20" fillId="0" borderId="18" xfId="0" applyNumberFormat="1" applyFont="1" applyBorder="1" applyAlignment="1">
      <alignment horizontal="center" vertical="center"/>
    </xf>
    <xf numFmtId="10" fontId="0" fillId="0" borderId="12" xfId="6" applyNumberFormat="1" applyFont="1" applyBorder="1"/>
    <xf numFmtId="0" fontId="0" fillId="0" borderId="33" xfId="0" applyBorder="1"/>
    <xf numFmtId="0" fontId="0" fillId="0" borderId="6" xfId="0" applyBorder="1"/>
    <xf numFmtId="0" fontId="0" fillId="0" borderId="8" xfId="0" applyBorder="1"/>
    <xf numFmtId="10" fontId="0" fillId="0" borderId="1" xfId="6" applyNumberFormat="1" applyFont="1" applyBorder="1"/>
    <xf numFmtId="10" fontId="0" fillId="0" borderId="0" xfId="0" applyNumberFormat="1"/>
    <xf numFmtId="10" fontId="30" fillId="11" borderId="1" xfId="0" applyNumberFormat="1" applyFont="1" applyFill="1" applyBorder="1"/>
    <xf numFmtId="0" fontId="14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2" fillId="6" borderId="22" xfId="2" applyFont="1" applyFill="1" applyBorder="1" applyAlignment="1">
      <alignment horizontal="center" vertical="center" wrapText="1"/>
    </xf>
    <xf numFmtId="0" fontId="2" fillId="6" borderId="1" xfId="4" applyFont="1" applyFill="1" applyBorder="1" applyAlignment="1">
      <alignment horizontal="left" vertical="center"/>
    </xf>
    <xf numFmtId="0" fontId="2" fillId="6" borderId="1" xfId="4" applyFont="1" applyFill="1" applyBorder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/>
    </xf>
    <xf numFmtId="43" fontId="14" fillId="0" borderId="0" xfId="1" applyFont="1" applyFill="1" applyBorder="1" applyAlignment="1">
      <alignment horizontal="center" vertical="center"/>
    </xf>
    <xf numFmtId="4" fontId="26" fillId="10" borderId="0" xfId="13" applyNumberFormat="1" applyFont="1" applyFill="1" applyAlignment="1">
      <alignment horizontal="center" vertical="center" wrapText="1"/>
    </xf>
    <xf numFmtId="4" fontId="33" fillId="10" borderId="1" xfId="13" applyNumberFormat="1" applyFont="1" applyFill="1" applyBorder="1" applyAlignment="1">
      <alignment horizontal="center" vertical="center" wrapText="1"/>
    </xf>
    <xf numFmtId="0" fontId="14" fillId="10" borderId="1" xfId="13" applyFont="1" applyFill="1" applyBorder="1" applyAlignment="1">
      <alignment horizontal="left" vertical="center" wrapText="1"/>
    </xf>
    <xf numFmtId="0" fontId="14" fillId="10" borderId="1" xfId="13" applyFont="1" applyFill="1" applyBorder="1" applyAlignment="1">
      <alignment horizontal="center" vertical="center" wrapText="1"/>
    </xf>
    <xf numFmtId="4" fontId="14" fillId="10" borderId="1" xfId="13" applyNumberFormat="1" applyFont="1" applyFill="1" applyBorder="1" applyAlignment="1">
      <alignment horizontal="center" vertical="center" wrapText="1"/>
    </xf>
    <xf numFmtId="168" fontId="14" fillId="10" borderId="1" xfId="13" applyNumberFormat="1" applyFont="1" applyFill="1" applyBorder="1" applyAlignment="1">
      <alignment horizontal="center" vertical="center" wrapText="1"/>
    </xf>
    <xf numFmtId="0" fontId="14" fillId="0" borderId="1" xfId="0" applyFont="1" applyBorder="1"/>
    <xf numFmtId="0" fontId="27" fillId="12" borderId="1" xfId="13" applyFont="1" applyFill="1" applyBorder="1" applyAlignment="1">
      <alignment horizontal="center" vertical="center" wrapText="1"/>
    </xf>
    <xf numFmtId="0" fontId="27" fillId="12" borderId="1" xfId="13" applyFont="1" applyFill="1" applyBorder="1" applyAlignment="1">
      <alignment horizontal="left" vertical="center" wrapText="1"/>
    </xf>
    <xf numFmtId="4" fontId="27" fillId="12" borderId="1" xfId="13" applyNumberFormat="1" applyFont="1" applyFill="1" applyBorder="1" applyAlignment="1">
      <alignment horizontal="center" vertical="center" wrapText="1"/>
    </xf>
    <xf numFmtId="0" fontId="24" fillId="13" borderId="4" xfId="13" applyFont="1" applyFill="1" applyBorder="1" applyAlignment="1">
      <alignment horizontal="center" vertical="center" wrapText="1"/>
    </xf>
    <xf numFmtId="2" fontId="24" fillId="13" borderId="4" xfId="13" applyNumberFormat="1" applyFont="1" applyFill="1" applyBorder="1" applyAlignment="1">
      <alignment horizontal="center" vertical="center" wrapText="1"/>
    </xf>
    <xf numFmtId="4" fontId="24" fillId="13" borderId="4" xfId="13" applyNumberFormat="1" applyFont="1" applyFill="1" applyBorder="1" applyAlignment="1">
      <alignment horizontal="center" vertical="center" wrapText="1"/>
    </xf>
    <xf numFmtId="0" fontId="27" fillId="14" borderId="1" xfId="0" applyFont="1" applyFill="1" applyBorder="1"/>
    <xf numFmtId="0" fontId="27" fillId="14" borderId="1" xfId="0" applyFont="1" applyFill="1" applyBorder="1" applyAlignment="1">
      <alignment horizontal="center"/>
    </xf>
    <xf numFmtId="0" fontId="27" fillId="14" borderId="1" xfId="13" applyFont="1" applyFill="1" applyBorder="1" applyAlignment="1">
      <alignment horizontal="left" vertical="center" wrapText="1"/>
    </xf>
    <xf numFmtId="0" fontId="1" fillId="0" borderId="0" xfId="0" applyFont="1"/>
    <xf numFmtId="0" fontId="25" fillId="12" borderId="1" xfId="13" applyFont="1" applyFill="1" applyBorder="1" applyAlignment="1">
      <alignment horizontal="center" vertical="center" wrapText="1"/>
    </xf>
    <xf numFmtId="0" fontId="25" fillId="12" borderId="1" xfId="13" applyFont="1" applyFill="1" applyBorder="1" applyAlignment="1">
      <alignment horizontal="left" vertical="center" wrapText="1"/>
    </xf>
    <xf numFmtId="4" fontId="25" fillId="12" borderId="1" xfId="13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10" borderId="4" xfId="13" applyFont="1" applyFill="1" applyBorder="1" applyAlignment="1">
      <alignment horizontal="center" vertical="center" wrapText="1"/>
    </xf>
    <xf numFmtId="0" fontId="14" fillId="10" borderId="4" xfId="13" applyFont="1" applyFill="1" applyBorder="1" applyAlignment="1">
      <alignment horizontal="left" vertical="center" wrapText="1"/>
    </xf>
    <xf numFmtId="0" fontId="27" fillId="14" borderId="1" xfId="0" applyFont="1" applyFill="1" applyBorder="1" applyAlignment="1">
      <alignment horizontal="left" vertical="center" wrapText="1"/>
    </xf>
    <xf numFmtId="168" fontId="25" fillId="12" borderId="1" xfId="13" applyNumberFormat="1" applyFont="1" applyFill="1" applyBorder="1" applyAlignment="1">
      <alignment horizontal="center" vertical="center" wrapText="1"/>
    </xf>
    <xf numFmtId="4" fontId="29" fillId="12" borderId="1" xfId="13" applyNumberFormat="1" applyFont="1" applyFill="1" applyBorder="1" applyAlignment="1">
      <alignment horizontal="center" vertical="center" wrapText="1"/>
    </xf>
    <xf numFmtId="0" fontId="1" fillId="14" borderId="1" xfId="0" applyFont="1" applyFill="1" applyBorder="1"/>
    <xf numFmtId="0" fontId="27" fillId="14" borderId="1" xfId="0" applyFont="1" applyFill="1" applyBorder="1" applyAlignment="1">
      <alignment horizontal="center" vertical="center" wrapText="1"/>
    </xf>
    <xf numFmtId="172" fontId="26" fillId="10" borderId="1" xfId="13" applyNumberFormat="1" applyFont="1" applyFill="1" applyBorder="1" applyAlignment="1">
      <alignment horizontal="center" vertical="center" wrapText="1"/>
    </xf>
    <xf numFmtId="173" fontId="26" fillId="10" borderId="1" xfId="13" applyNumberFormat="1" applyFont="1" applyFill="1" applyBorder="1" applyAlignment="1">
      <alignment horizontal="center" vertical="center" wrapText="1"/>
    </xf>
    <xf numFmtId="0" fontId="33" fillId="0" borderId="0" xfId="13" applyFont="1" applyAlignment="1">
      <alignment horizontal="left" vertical="center"/>
    </xf>
    <xf numFmtId="0" fontId="2" fillId="14" borderId="1" xfId="0" applyFont="1" applyFill="1" applyBorder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/>
    </xf>
    <xf numFmtId="174" fontId="26" fillId="10" borderId="1" xfId="13" applyNumberFormat="1" applyFont="1" applyFill="1" applyBorder="1" applyAlignment="1">
      <alignment horizontal="center" vertical="center" wrapText="1"/>
    </xf>
    <xf numFmtId="0" fontId="33" fillId="0" borderId="0" xfId="0" applyFont="1"/>
    <xf numFmtId="0" fontId="14" fillId="10" borderId="3" xfId="13" applyFont="1" applyFill="1" applyBorder="1" applyAlignment="1">
      <alignment horizontal="center" vertical="center" wrapText="1"/>
    </xf>
    <xf numFmtId="0" fontId="14" fillId="10" borderId="3" xfId="13" applyFont="1" applyFill="1" applyBorder="1" applyAlignment="1">
      <alignment horizontal="left" vertical="center" wrapText="1"/>
    </xf>
    <xf numFmtId="0" fontId="1" fillId="1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4" fillId="0" borderId="1" xfId="26" applyFont="1" applyBorder="1" applyAlignment="1">
      <alignment horizontal="center" vertical="center"/>
    </xf>
    <xf numFmtId="171" fontId="14" fillId="0" borderId="1" xfId="26" applyNumberFormat="1" applyFont="1" applyBorder="1" applyAlignment="1">
      <alignment horizontal="center" vertical="center"/>
    </xf>
    <xf numFmtId="0" fontId="14" fillId="0" borderId="1" xfId="26" applyFont="1" applyBorder="1" applyAlignment="1">
      <alignment horizontal="justify" vertical="center" wrapText="1"/>
    </xf>
    <xf numFmtId="0" fontId="14" fillId="15" borderId="1" xfId="0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72" fontId="14" fillId="0" borderId="1" xfId="0" applyNumberFormat="1" applyFont="1" applyBorder="1" applyAlignment="1">
      <alignment horizontal="center" vertical="center"/>
    </xf>
    <xf numFmtId="0" fontId="14" fillId="15" borderId="7" xfId="0" applyFont="1" applyFill="1" applyBorder="1" applyAlignment="1">
      <alignment horizontal="center" vertical="center"/>
    </xf>
    <xf numFmtId="0" fontId="39" fillId="0" borderId="1" xfId="0" applyFont="1" applyBorder="1" applyAlignment="1">
      <alignment wrapText="1"/>
    </xf>
    <xf numFmtId="173" fontId="14" fillId="0" borderId="1" xfId="0" applyNumberFormat="1" applyFont="1" applyBorder="1" applyAlignment="1">
      <alignment horizontal="center"/>
    </xf>
    <xf numFmtId="172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171" fontId="14" fillId="0" borderId="1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6" fillId="10" borderId="3" xfId="13" applyFont="1" applyFill="1" applyBorder="1" applyAlignment="1">
      <alignment horizontal="center" vertical="center" wrapText="1"/>
    </xf>
    <xf numFmtId="0" fontId="26" fillId="10" borderId="3" xfId="13" applyFont="1" applyFill="1" applyBorder="1" applyAlignment="1">
      <alignment horizontal="left" vertical="center" wrapText="1"/>
    </xf>
    <xf numFmtId="4" fontId="26" fillId="10" borderId="3" xfId="13" applyNumberFormat="1" applyFont="1" applyFill="1" applyBorder="1" applyAlignment="1">
      <alignment horizontal="center" vertical="center" wrapText="1"/>
    </xf>
    <xf numFmtId="0" fontId="14" fillId="14" borderId="16" xfId="0" applyFont="1" applyFill="1" applyBorder="1" applyAlignment="1">
      <alignment horizontal="center" vertical="center"/>
    </xf>
    <xf numFmtId="0" fontId="27" fillId="14" borderId="16" xfId="0" applyFont="1" applyFill="1" applyBorder="1" applyAlignment="1">
      <alignment horizontal="center" vertical="center"/>
    </xf>
    <xf numFmtId="0" fontId="27" fillId="14" borderId="7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vertical="center" wrapText="1"/>
    </xf>
    <xf numFmtId="0" fontId="27" fillId="14" borderId="1" xfId="0" applyFont="1" applyFill="1" applyBorder="1" applyAlignment="1">
      <alignment horizontal="center" vertical="center"/>
    </xf>
    <xf numFmtId="0" fontId="27" fillId="14" borderId="37" xfId="0" applyFont="1" applyFill="1" applyBorder="1" applyAlignment="1">
      <alignment horizontal="center" vertical="center"/>
    </xf>
    <xf numFmtId="0" fontId="27" fillId="14" borderId="12" xfId="0" applyFont="1" applyFill="1" applyBorder="1" applyAlignment="1">
      <alignment horizontal="center" vertical="center"/>
    </xf>
    <xf numFmtId="0" fontId="40" fillId="14" borderId="3" xfId="0" applyFont="1" applyFill="1" applyBorder="1" applyAlignment="1">
      <alignment horizontal="left" vertical="center" wrapText="1"/>
    </xf>
    <xf numFmtId="0" fontId="27" fillId="14" borderId="3" xfId="0" applyFont="1" applyFill="1" applyBorder="1" applyAlignment="1">
      <alignment horizontal="center" vertical="center"/>
    </xf>
    <xf numFmtId="2" fontId="27" fillId="14" borderId="3" xfId="0" applyNumberFormat="1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wrapText="1"/>
    </xf>
    <xf numFmtId="2" fontId="27" fillId="14" borderId="4" xfId="0" applyNumberFormat="1" applyFont="1" applyFill="1" applyBorder="1" applyAlignment="1">
      <alignment horizontal="center" vertical="center"/>
    </xf>
    <xf numFmtId="2" fontId="27" fillId="14" borderId="1" xfId="0" applyNumberFormat="1" applyFont="1" applyFill="1" applyBorder="1" applyAlignment="1">
      <alignment horizontal="center" vertical="center"/>
    </xf>
    <xf numFmtId="1" fontId="27" fillId="1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6" borderId="0" xfId="0" applyFont="1" applyFill="1" applyAlignment="1">
      <alignment horizontal="center"/>
    </xf>
    <xf numFmtId="43" fontId="2" fillId="0" borderId="0" xfId="1" applyFont="1" applyAlignment="1">
      <alignment wrapText="1"/>
    </xf>
    <xf numFmtId="43" fontId="2" fillId="0" borderId="0" xfId="1" applyFont="1"/>
    <xf numFmtId="49" fontId="14" fillId="6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3" fontId="14" fillId="6" borderId="4" xfId="1" applyFont="1" applyFill="1" applyBorder="1" applyAlignment="1">
      <alignment horizontal="center" vertical="center" wrapText="1"/>
    </xf>
    <xf numFmtId="43" fontId="14" fillId="6" borderId="6" xfId="1" applyFont="1" applyFill="1" applyBorder="1" applyAlignment="1">
      <alignment horizontal="center" vertical="center" wrapText="1"/>
    </xf>
    <xf numFmtId="0" fontId="27" fillId="17" borderId="4" xfId="0" applyFont="1" applyFill="1" applyBorder="1" applyAlignment="1">
      <alignment horizontal="center" vertical="center"/>
    </xf>
    <xf numFmtId="49" fontId="27" fillId="17" borderId="4" xfId="0" applyNumberFormat="1" applyFont="1" applyFill="1" applyBorder="1" applyAlignment="1">
      <alignment horizontal="center" vertical="center" wrapText="1"/>
    </xf>
    <xf numFmtId="0" fontId="27" fillId="17" borderId="4" xfId="0" applyFont="1" applyFill="1" applyBorder="1" applyAlignment="1">
      <alignment horizontal="center" vertical="center" wrapText="1"/>
    </xf>
    <xf numFmtId="43" fontId="27" fillId="17" borderId="4" xfId="1" applyFont="1" applyFill="1" applyBorder="1" applyAlignment="1">
      <alignment horizontal="center" vertical="center" wrapText="1"/>
    </xf>
    <xf numFmtId="0" fontId="2" fillId="6" borderId="1" xfId="4" applyFont="1" applyFill="1" applyBorder="1" applyAlignment="1">
      <alignment vertical="center" wrapText="1"/>
    </xf>
    <xf numFmtId="165" fontId="14" fillId="0" borderId="1" xfId="2" applyNumberFormat="1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49" fontId="7" fillId="5" borderId="4" xfId="0" applyNumberFormat="1" applyFont="1" applyFill="1" applyBorder="1" applyAlignment="1">
      <alignment horizontal="center" vertical="center" wrapText="1"/>
    </xf>
    <xf numFmtId="43" fontId="7" fillId="5" borderId="4" xfId="1" applyFont="1" applyFill="1" applyBorder="1" applyAlignment="1">
      <alignment horizontal="center" vertical="center" wrapText="1"/>
    </xf>
    <xf numFmtId="49" fontId="27" fillId="14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0" fontId="1" fillId="14" borderId="38" xfId="0" applyFont="1" applyFill="1" applyBorder="1"/>
    <xf numFmtId="0" fontId="27" fillId="14" borderId="38" xfId="0" applyFont="1" applyFill="1" applyBorder="1" applyAlignment="1">
      <alignment horizontal="left" vertical="center" wrapText="1"/>
    </xf>
    <xf numFmtId="0" fontId="27" fillId="14" borderId="3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0" fontId="25" fillId="12" borderId="1" xfId="13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wrapText="1"/>
    </xf>
    <xf numFmtId="0" fontId="17" fillId="6" borderId="0" xfId="0" applyFont="1" applyFill="1" applyAlignment="1">
      <alignment horizontal="left" wrapText="1"/>
    </xf>
    <xf numFmtId="4" fontId="26" fillId="10" borderId="2" xfId="13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4" fontId="14" fillId="0" borderId="1" xfId="1" applyNumberFormat="1" applyFont="1" applyBorder="1" applyAlignment="1">
      <alignment horizontal="center" vertical="center"/>
    </xf>
    <xf numFmtId="4" fontId="27" fillId="14" borderId="4" xfId="1" applyNumberFormat="1" applyFont="1" applyFill="1" applyBorder="1" applyAlignment="1">
      <alignment horizontal="center" vertical="center"/>
    </xf>
    <xf numFmtId="4" fontId="14" fillId="10" borderId="1" xfId="1" applyNumberFormat="1" applyFont="1" applyFill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 wrapText="1"/>
    </xf>
    <xf numFmtId="4" fontId="14" fillId="10" borderId="1" xfId="1" applyNumberFormat="1" applyFont="1" applyFill="1" applyBorder="1" applyAlignment="1">
      <alignment horizontal="center" vertical="center"/>
    </xf>
    <xf numFmtId="4" fontId="27" fillId="14" borderId="3" xfId="1" applyNumberFormat="1" applyFont="1" applyFill="1" applyBorder="1" applyAlignment="1">
      <alignment horizontal="center" vertical="center"/>
    </xf>
    <xf numFmtId="4" fontId="14" fillId="0" borderId="3" xfId="1" applyNumberFormat="1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/>
    </xf>
    <xf numFmtId="4" fontId="1" fillId="14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4" fontId="14" fillId="0" borderId="1" xfId="1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165" fontId="14" fillId="0" borderId="0" xfId="2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0" borderId="0" xfId="0" applyFont="1"/>
    <xf numFmtId="43" fontId="2" fillId="0" borderId="0" xfId="1" applyFont="1" applyFill="1"/>
    <xf numFmtId="4" fontId="1" fillId="14" borderId="3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14" fillId="14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left" vertical="center" wrapText="1"/>
    </xf>
    <xf numFmtId="1" fontId="7" fillId="5" borderId="4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1" fontId="14" fillId="0" borderId="1" xfId="13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 wrapText="1"/>
    </xf>
    <xf numFmtId="1" fontId="17" fillId="0" borderId="0" xfId="0" applyNumberFormat="1" applyFont="1" applyAlignment="1">
      <alignment horizontal="center" wrapText="1"/>
    </xf>
    <xf numFmtId="1" fontId="17" fillId="0" borderId="0" xfId="0" applyNumberFormat="1" applyFont="1" applyAlignment="1">
      <alignment horizontal="center"/>
    </xf>
    <xf numFmtId="4" fontId="1" fillId="14" borderId="1" xfId="0" applyNumberFormat="1" applyFont="1" applyFill="1" applyBorder="1" applyAlignment="1">
      <alignment horizontal="center" vertical="center"/>
    </xf>
    <xf numFmtId="43" fontId="14" fillId="0" borderId="0" xfId="1" applyFont="1" applyFill="1"/>
    <xf numFmtId="173" fontId="2" fillId="0" borderId="1" xfId="0" applyNumberFormat="1" applyFont="1" applyBorder="1" applyAlignment="1">
      <alignment horizontal="center"/>
    </xf>
    <xf numFmtId="43" fontId="45" fillId="0" borderId="0" xfId="1" applyFont="1" applyFill="1" applyAlignment="1">
      <alignment horizontal="center" vertical="center"/>
    </xf>
    <xf numFmtId="43" fontId="27" fillId="20" borderId="1" xfId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5" fontId="27" fillId="0" borderId="1" xfId="2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" fillId="0" borderId="1" xfId="4" applyFont="1" applyBorder="1" applyAlignment="1">
      <alignment vertical="center" wrapText="1"/>
    </xf>
    <xf numFmtId="43" fontId="2" fillId="0" borderId="1" xfId="1" applyFont="1" applyBorder="1" applyAlignment="1">
      <alignment vertical="center"/>
    </xf>
    <xf numFmtId="0" fontId="2" fillId="0" borderId="1" xfId="4" applyFont="1" applyBorder="1" applyAlignment="1">
      <alignment horizontal="left" vertical="center" wrapText="1"/>
    </xf>
    <xf numFmtId="43" fontId="1" fillId="21" borderId="1" xfId="1" applyFont="1" applyFill="1" applyBorder="1"/>
    <xf numFmtId="0" fontId="2" fillId="0" borderId="1" xfId="0" applyFont="1" applyBorder="1" applyAlignment="1">
      <alignment wrapText="1"/>
    </xf>
    <xf numFmtId="0" fontId="2" fillId="6" borderId="1" xfId="0" applyFont="1" applyFill="1" applyBorder="1" applyAlignment="1">
      <alignment horizontal="center"/>
    </xf>
    <xf numFmtId="43" fontId="2" fillId="0" borderId="1" xfId="1" applyFont="1" applyBorder="1" applyAlignment="1">
      <alignment horizontal="center" vertical="center"/>
    </xf>
    <xf numFmtId="43" fontId="14" fillId="0" borderId="0" xfId="1" applyFont="1" applyAlignment="1">
      <alignment wrapText="1"/>
    </xf>
    <xf numFmtId="43" fontId="14" fillId="0" borderId="0" xfId="1" applyFont="1"/>
    <xf numFmtId="43" fontId="33" fillId="0" borderId="1" xfId="1" applyFont="1" applyBorder="1"/>
    <xf numFmtId="43" fontId="33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3" fontId="2" fillId="0" borderId="1" xfId="0" applyNumberFormat="1" applyFont="1" applyBorder="1"/>
    <xf numFmtId="43" fontId="2" fillId="0" borderId="0" xfId="0" applyNumberFormat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14" fillId="0" borderId="1" xfId="1" applyFont="1" applyBorder="1"/>
    <xf numFmtId="0" fontId="14" fillId="0" borderId="0" xfId="0" applyFont="1" applyAlignment="1">
      <alignment horizontal="center"/>
    </xf>
    <xf numFmtId="0" fontId="45" fillId="0" borderId="0" xfId="0" applyFont="1"/>
    <xf numFmtId="43" fontId="47" fillId="0" borderId="0" xfId="1" applyFont="1" applyBorder="1"/>
    <xf numFmtId="0" fontId="14" fillId="4" borderId="1" xfId="0" applyFont="1" applyFill="1" applyBorder="1" applyAlignment="1">
      <alignment horizontal="center" vertical="center" wrapText="1"/>
    </xf>
    <xf numFmtId="0" fontId="14" fillId="0" borderId="1" xfId="1" applyNumberFormat="1" applyFont="1" applyBorder="1" applyAlignment="1">
      <alignment horizontal="center"/>
    </xf>
    <xf numFmtId="0" fontId="14" fillId="4" borderId="7" xfId="0" applyFont="1" applyFill="1" applyBorder="1" applyAlignment="1">
      <alignment vertical="center"/>
    </xf>
    <xf numFmtId="0" fontId="48" fillId="0" borderId="0" xfId="0" applyFont="1"/>
    <xf numFmtId="43" fontId="14" fillId="0" borderId="1" xfId="1" applyFont="1" applyBorder="1" applyAlignment="1">
      <alignment vertical="center" wrapText="1"/>
    </xf>
    <xf numFmtId="43" fontId="14" fillId="0" borderId="1" xfId="1" applyFont="1" applyBorder="1" applyAlignment="1">
      <alignment horizontal="center"/>
    </xf>
    <xf numFmtId="43" fontId="14" fillId="0" borderId="7" xfId="1" applyFont="1" applyBorder="1" applyAlignment="1">
      <alignment vertical="center" wrapText="1"/>
    </xf>
    <xf numFmtId="0" fontId="18" fillId="0" borderId="0" xfId="0" applyFont="1" applyAlignment="1">
      <alignment horizontal="center" wrapText="1"/>
    </xf>
    <xf numFmtId="0" fontId="14" fillId="0" borderId="0" xfId="1" applyNumberFormat="1" applyFont="1" applyBorder="1" applyAlignment="1">
      <alignment horizontal="center"/>
    </xf>
    <xf numFmtId="10" fontId="1" fillId="21" borderId="1" xfId="1" applyNumberFormat="1" applyFont="1" applyFill="1" applyBorder="1"/>
    <xf numFmtId="10" fontId="27" fillId="20" borderId="1" xfId="1" applyNumberFormat="1" applyFont="1" applyFill="1" applyBorder="1" applyAlignment="1">
      <alignment horizontal="center" vertical="center"/>
    </xf>
    <xf numFmtId="0" fontId="46" fillId="0" borderId="0" xfId="0" applyFont="1" applyAlignment="1">
      <alignment vertical="center"/>
    </xf>
    <xf numFmtId="43" fontId="0" fillId="0" borderId="0" xfId="1" applyFont="1"/>
    <xf numFmtId="0" fontId="3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9" fontId="14" fillId="44" borderId="71" xfId="71" applyNumberFormat="1" applyFont="1" applyFill="1" applyBorder="1"/>
    <xf numFmtId="39" fontId="14" fillId="0" borderId="0" xfId="71" applyNumberFormat="1" applyFont="1" applyFill="1" applyBorder="1"/>
    <xf numFmtId="39" fontId="14" fillId="44" borderId="76" xfId="71" applyNumberFormat="1" applyFont="1" applyFill="1" applyBorder="1"/>
    <xf numFmtId="39" fontId="27" fillId="21" borderId="73" xfId="71" applyNumberFormat="1" applyFont="1" applyFill="1" applyBorder="1"/>
    <xf numFmtId="39" fontId="27" fillId="0" borderId="0" xfId="71" applyNumberFormat="1" applyFont="1" applyFill="1" applyBorder="1"/>
    <xf numFmtId="10" fontId="14" fillId="9" borderId="69" xfId="69" applyNumberFormat="1" applyFont="1" applyFill="1" applyBorder="1" applyAlignment="1" applyProtection="1"/>
    <xf numFmtId="10" fontId="14" fillId="9" borderId="49" xfId="69" applyNumberFormat="1" applyFont="1" applyFill="1" applyBorder="1" applyAlignment="1" applyProtection="1"/>
    <xf numFmtId="10" fontId="14" fillId="58" borderId="1" xfId="69" applyNumberFormat="1" applyFont="1" applyFill="1" applyBorder="1" applyAlignment="1" applyProtection="1"/>
    <xf numFmtId="10" fontId="14" fillId="58" borderId="9" xfId="69" applyNumberFormat="1" applyFont="1" applyFill="1" applyBorder="1" applyAlignment="1" applyProtection="1"/>
    <xf numFmtId="10" fontId="14" fillId="9" borderId="92" xfId="69" applyNumberFormat="1" applyFont="1" applyFill="1" applyBorder="1" applyAlignment="1" applyProtection="1"/>
    <xf numFmtId="10" fontId="14" fillId="58" borderId="96" xfId="69" applyNumberFormat="1" applyFont="1" applyFill="1" applyBorder="1" applyAlignment="1" applyProtection="1"/>
    <xf numFmtId="10" fontId="14" fillId="58" borderId="87" xfId="69" applyNumberFormat="1" applyFont="1" applyFill="1" applyBorder="1" applyAlignment="1" applyProtection="1"/>
    <xf numFmtId="10" fontId="14" fillId="58" borderId="97" xfId="69" applyNumberFormat="1" applyFont="1" applyFill="1" applyBorder="1" applyAlignment="1" applyProtection="1"/>
    <xf numFmtId="10" fontId="14" fillId="57" borderId="96" xfId="69" applyNumberFormat="1" applyFont="1" applyFill="1" applyBorder="1" applyAlignment="1" applyProtection="1"/>
    <xf numFmtId="10" fontId="14" fillId="57" borderId="87" xfId="69" applyNumberFormat="1" applyFont="1" applyFill="1" applyBorder="1" applyAlignment="1" applyProtection="1"/>
    <xf numFmtId="10" fontId="33" fillId="57" borderId="87" xfId="69" applyNumberFormat="1" applyFont="1" applyFill="1" applyBorder="1" applyAlignment="1" applyProtection="1"/>
    <xf numFmtId="10" fontId="14" fillId="57" borderId="87" xfId="69" quotePrefix="1" applyNumberFormat="1" applyFont="1" applyFill="1" applyBorder="1" applyAlignment="1" applyProtection="1">
      <alignment horizontal="center"/>
    </xf>
    <xf numFmtId="0" fontId="66" fillId="0" borderId="0" xfId="0" applyFont="1" applyAlignment="1">
      <alignment horizontal="center"/>
    </xf>
    <xf numFmtId="0" fontId="27" fillId="0" borderId="10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14" fillId="0" borderId="0" xfId="0" applyFont="1" applyAlignment="1">
      <alignment horizontal="left"/>
    </xf>
    <xf numFmtId="4" fontId="14" fillId="0" borderId="0" xfId="0" applyNumberFormat="1" applyFont="1" applyAlignment="1">
      <alignment wrapText="1"/>
    </xf>
    <xf numFmtId="4" fontId="14" fillId="0" borderId="12" xfId="0" applyNumberFormat="1" applyFont="1" applyBorder="1" applyAlignment="1">
      <alignment wrapText="1"/>
    </xf>
    <xf numFmtId="0" fontId="14" fillId="0" borderId="11" xfId="0" applyFont="1" applyBorder="1" applyAlignment="1">
      <alignment vertical="center" wrapText="1"/>
    </xf>
    <xf numFmtId="0" fontId="27" fillId="0" borderId="1" xfId="0" applyFont="1" applyBorder="1" applyAlignment="1">
      <alignment horizontal="justify"/>
    </xf>
    <xf numFmtId="4" fontId="14" fillId="0" borderId="1" xfId="0" applyNumberFormat="1" applyFont="1" applyBorder="1" applyAlignment="1">
      <alignment wrapText="1"/>
    </xf>
    <xf numFmtId="14" fontId="14" fillId="0" borderId="1" xfId="0" applyNumberFormat="1" applyFont="1" applyBorder="1" applyAlignment="1">
      <alignment wrapText="1"/>
    </xf>
    <xf numFmtId="4" fontId="27" fillId="0" borderId="1" xfId="0" applyNumberFormat="1" applyFont="1" applyBorder="1" applyAlignment="1">
      <alignment horizontal="center" vertical="center" wrapText="1"/>
    </xf>
    <xf numFmtId="4" fontId="27" fillId="0" borderId="0" xfId="0" applyNumberFormat="1" applyFont="1" applyAlignment="1">
      <alignment wrapText="1"/>
    </xf>
    <xf numFmtId="4" fontId="27" fillId="21" borderId="21" xfId="0" applyNumberFormat="1" applyFont="1" applyFill="1" applyBorder="1" applyAlignment="1">
      <alignment horizontal="center"/>
    </xf>
    <xf numFmtId="4" fontId="27" fillId="0" borderId="0" xfId="0" applyNumberFormat="1" applyFont="1" applyAlignment="1">
      <alignment horizontal="center"/>
    </xf>
    <xf numFmtId="0" fontId="14" fillId="0" borderId="65" xfId="0" applyFont="1" applyBorder="1" applyAlignment="1">
      <alignment horizontal="center" vertical="center"/>
    </xf>
    <xf numFmtId="0" fontId="14" fillId="17" borderId="75" xfId="0" applyFont="1" applyFill="1" applyBorder="1"/>
    <xf numFmtId="0" fontId="14" fillId="0" borderId="53" xfId="0" applyFont="1" applyBorder="1" applyAlignment="1">
      <alignment horizontal="center" vertical="center"/>
    </xf>
    <xf numFmtId="10" fontId="14" fillId="17" borderId="76" xfId="0" applyNumberFormat="1" applyFont="1" applyFill="1" applyBorder="1"/>
    <xf numFmtId="0" fontId="14" fillId="0" borderId="48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14" fillId="0" borderId="77" xfId="0" applyFont="1" applyBorder="1"/>
    <xf numFmtId="0" fontId="14" fillId="0" borderId="0" xfId="0" applyFont="1" applyAlignment="1">
      <alignment horizontal="center" vertical="center"/>
    </xf>
    <xf numFmtId="4" fontId="14" fillId="0" borderId="0" xfId="0" applyNumberFormat="1" applyFont="1"/>
    <xf numFmtId="0" fontId="27" fillId="49" borderId="13" xfId="0" applyFont="1" applyFill="1" applyBorder="1" applyAlignment="1">
      <alignment horizontal="center" vertical="center"/>
    </xf>
    <xf numFmtId="0" fontId="14" fillId="49" borderId="14" xfId="0" applyFont="1" applyFill="1" applyBorder="1"/>
    <xf numFmtId="4" fontId="14" fillId="49" borderId="14" xfId="0" applyNumberFormat="1" applyFont="1" applyFill="1" applyBorder="1"/>
    <xf numFmtId="4" fontId="14" fillId="49" borderId="15" xfId="0" applyNumberFormat="1" applyFont="1" applyFill="1" applyBorder="1"/>
    <xf numFmtId="0" fontId="27" fillId="0" borderId="30" xfId="0" applyFont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7" fillId="9" borderId="54" xfId="0" applyFont="1" applyFill="1" applyBorder="1" applyAlignment="1">
      <alignment horizontal="center" vertical="center"/>
    </xf>
    <xf numFmtId="0" fontId="27" fillId="9" borderId="55" xfId="0" applyFont="1" applyFill="1" applyBorder="1" applyAlignment="1">
      <alignment horizontal="center"/>
    </xf>
    <xf numFmtId="4" fontId="27" fillId="9" borderId="56" xfId="0" applyNumberFormat="1" applyFont="1" applyFill="1" applyBorder="1" applyAlignment="1">
      <alignment horizontal="center"/>
    </xf>
    <xf numFmtId="4" fontId="14" fillId="48" borderId="70" xfId="0" applyNumberFormat="1" applyFont="1" applyFill="1" applyBorder="1"/>
    <xf numFmtId="4" fontId="14" fillId="48" borderId="93" xfId="0" applyNumberFormat="1" applyFont="1" applyFill="1" applyBorder="1"/>
    <xf numFmtId="181" fontId="27" fillId="0" borderId="51" xfId="0" applyNumberFormat="1" applyFont="1" applyBorder="1"/>
    <xf numFmtId="4" fontId="27" fillId="48" borderId="52" xfId="0" applyNumberFormat="1" applyFont="1" applyFill="1" applyBorder="1"/>
    <xf numFmtId="4" fontId="27" fillId="0" borderId="0" xfId="0" applyNumberFormat="1" applyFont="1"/>
    <xf numFmtId="0" fontId="27" fillId="9" borderId="55" xfId="0" applyFont="1" applyFill="1" applyBorder="1" applyAlignment="1">
      <alignment horizontal="center" vertical="center"/>
    </xf>
    <xf numFmtId="4" fontId="27" fillId="9" borderId="56" xfId="0" applyNumberFormat="1" applyFont="1" applyFill="1" applyBorder="1" applyAlignment="1">
      <alignment horizontal="center" vertical="center"/>
    </xf>
    <xf numFmtId="10" fontId="14" fillId="9" borderId="69" xfId="0" applyNumberFormat="1" applyFont="1" applyFill="1" applyBorder="1"/>
    <xf numFmtId="10" fontId="14" fillId="9" borderId="49" xfId="0" applyNumberFormat="1" applyFont="1" applyFill="1" applyBorder="1"/>
    <xf numFmtId="10" fontId="27" fillId="0" borderId="51" xfId="0" applyNumberFormat="1" applyFont="1" applyBorder="1"/>
    <xf numFmtId="0" fontId="14" fillId="0" borderId="30" xfId="0" applyFont="1" applyBorder="1" applyAlignment="1">
      <alignment horizontal="center" vertical="center"/>
    </xf>
    <xf numFmtId="0" fontId="27" fillId="49" borderId="64" xfId="0" applyFont="1" applyFill="1" applyBorder="1" applyAlignment="1">
      <alignment horizontal="center" vertical="center"/>
    </xf>
    <xf numFmtId="181" fontId="27" fillId="49" borderId="64" xfId="0" applyNumberFormat="1" applyFont="1" applyFill="1" applyBorder="1"/>
    <xf numFmtId="4" fontId="27" fillId="49" borderId="15" xfId="0" applyNumberFormat="1" applyFont="1" applyFill="1" applyBorder="1" applyAlignment="1">
      <alignment vertical="center"/>
    </xf>
    <xf numFmtId="4" fontId="27" fillId="0" borderId="0" xfId="0" applyNumberFormat="1" applyFont="1" applyAlignment="1">
      <alignment vertical="center"/>
    </xf>
    <xf numFmtId="181" fontId="27" fillId="0" borderId="0" xfId="0" applyNumberFormat="1" applyFont="1"/>
    <xf numFmtId="0" fontId="27" fillId="54" borderId="94" xfId="0" applyFont="1" applyFill="1" applyBorder="1" applyAlignment="1">
      <alignment horizontal="center" vertical="center"/>
    </xf>
    <xf numFmtId="0" fontId="27" fillId="54" borderId="98" xfId="0" applyFont="1" applyFill="1" applyBorder="1" applyAlignment="1">
      <alignment horizontal="center"/>
    </xf>
    <xf numFmtId="4" fontId="27" fillId="54" borderId="64" xfId="0" applyNumberFormat="1" applyFont="1" applyFill="1" applyBorder="1" applyAlignment="1">
      <alignment horizontal="center"/>
    </xf>
    <xf numFmtId="4" fontId="27" fillId="54" borderId="56" xfId="0" applyNumberFormat="1" applyFont="1" applyFill="1" applyBorder="1" applyAlignment="1">
      <alignment horizontal="center"/>
    </xf>
    <xf numFmtId="0" fontId="14" fillId="0" borderId="96" xfId="0" applyFont="1" applyBorder="1" applyAlignment="1">
      <alignment horizontal="center" vertical="center"/>
    </xf>
    <xf numFmtId="4" fontId="14" fillId="54" borderId="8" xfId="0" applyNumberFormat="1" applyFont="1" applyFill="1" applyBorder="1"/>
    <xf numFmtId="4" fontId="14" fillId="54" borderId="97" xfId="0" applyNumberFormat="1" applyFont="1" applyFill="1" applyBorder="1"/>
    <xf numFmtId="4" fontId="14" fillId="54" borderId="96" xfId="0" applyNumberFormat="1" applyFont="1" applyFill="1" applyBorder="1"/>
    <xf numFmtId="0" fontId="14" fillId="0" borderId="87" xfId="0" applyFont="1" applyBorder="1" applyAlignment="1">
      <alignment horizontal="center" vertical="center"/>
    </xf>
    <xf numFmtId="4" fontId="14" fillId="54" borderId="11" xfId="0" applyNumberFormat="1" applyFont="1" applyFill="1" applyBorder="1"/>
    <xf numFmtId="4" fontId="14" fillId="54" borderId="87" xfId="0" applyNumberFormat="1" applyFont="1" applyFill="1" applyBorder="1"/>
    <xf numFmtId="0" fontId="14" fillId="0" borderId="87" xfId="0" applyFont="1" applyBorder="1" applyAlignment="1">
      <alignment horizontal="center"/>
    </xf>
    <xf numFmtId="0" fontId="27" fillId="0" borderId="88" xfId="0" applyFont="1" applyBorder="1" applyAlignment="1">
      <alignment horizontal="center" vertical="center"/>
    </xf>
    <xf numFmtId="181" fontId="27" fillId="0" borderId="88" xfId="0" applyNumberFormat="1" applyFont="1" applyBorder="1"/>
    <xf numFmtId="4" fontId="27" fillId="54" borderId="13" xfId="0" applyNumberFormat="1" applyFont="1" applyFill="1" applyBorder="1"/>
    <xf numFmtId="4" fontId="27" fillId="54" borderId="64" xfId="0" applyNumberFormat="1" applyFont="1" applyFill="1" applyBorder="1"/>
    <xf numFmtId="4" fontId="27" fillId="54" borderId="15" xfId="0" applyNumberFormat="1" applyFont="1" applyFill="1" applyBorder="1"/>
    <xf numFmtId="0" fontId="27" fillId="56" borderId="54" xfId="0" applyFont="1" applyFill="1" applyBorder="1" applyAlignment="1">
      <alignment horizontal="center" vertical="center"/>
    </xf>
    <xf numFmtId="0" fontId="27" fillId="0" borderId="90" xfId="0" applyFont="1" applyBorder="1" applyAlignment="1">
      <alignment horizontal="center" vertical="center"/>
    </xf>
    <xf numFmtId="0" fontId="27" fillId="0" borderId="30" xfId="0" applyFont="1" applyBorder="1" applyAlignment="1">
      <alignment horizontal="left"/>
    </xf>
    <xf numFmtId="0" fontId="27" fillId="0" borderId="0" xfId="0" applyFont="1" applyAlignment="1">
      <alignment horizontal="center"/>
    </xf>
    <xf numFmtId="4" fontId="27" fillId="0" borderId="18" xfId="0" applyNumberFormat="1" applyFont="1" applyBorder="1" applyAlignment="1">
      <alignment horizontal="center"/>
    </xf>
    <xf numFmtId="0" fontId="27" fillId="55" borderId="91" xfId="0" applyFont="1" applyFill="1" applyBorder="1" applyAlignment="1">
      <alignment horizontal="center" vertical="center"/>
    </xf>
    <xf numFmtId="0" fontId="27" fillId="55" borderId="59" xfId="0" applyFont="1" applyFill="1" applyBorder="1" applyAlignment="1">
      <alignment horizontal="center"/>
    </xf>
    <xf numFmtId="4" fontId="27" fillId="55" borderId="56" xfId="0" applyNumberFormat="1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4" fontId="14" fillId="55" borderId="71" xfId="0" applyNumberFormat="1" applyFont="1" applyFill="1" applyBorder="1"/>
    <xf numFmtId="0" fontId="14" fillId="0" borderId="2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4" fontId="14" fillId="55" borderId="89" xfId="0" applyNumberFormat="1" applyFont="1" applyFill="1" applyBorder="1"/>
    <xf numFmtId="4" fontId="14" fillId="55" borderId="18" xfId="0" applyNumberFormat="1" applyFont="1" applyFill="1" applyBorder="1"/>
    <xf numFmtId="0" fontId="27" fillId="0" borderId="62" xfId="0" applyFont="1" applyBorder="1" applyAlignment="1">
      <alignment horizontal="center" vertical="center"/>
    </xf>
    <xf numFmtId="10" fontId="27" fillId="0" borderId="88" xfId="0" applyNumberFormat="1" applyFont="1" applyBorder="1"/>
    <xf numFmtId="4" fontId="27" fillId="55" borderId="73" xfId="0" applyNumberFormat="1" applyFont="1" applyFill="1" applyBorder="1"/>
    <xf numFmtId="10" fontId="27" fillId="0" borderId="0" xfId="0" applyNumberFormat="1" applyFont="1"/>
    <xf numFmtId="0" fontId="14" fillId="0" borderId="22" xfId="0" applyFont="1" applyBorder="1" applyAlignment="1">
      <alignment horizontal="center" vertical="center"/>
    </xf>
    <xf numFmtId="10" fontId="27" fillId="0" borderId="85" xfId="0" applyNumberFormat="1" applyFont="1" applyBorder="1"/>
    <xf numFmtId="4" fontId="27" fillId="55" borderId="52" xfId="0" applyNumberFormat="1" applyFont="1" applyFill="1" applyBorder="1"/>
    <xf numFmtId="0" fontId="27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right"/>
    </xf>
    <xf numFmtId="10" fontId="27" fillId="0" borderId="4" xfId="0" applyNumberFormat="1" applyFont="1" applyBorder="1"/>
    <xf numFmtId="4" fontId="27" fillId="0" borderId="4" xfId="0" applyNumberFormat="1" applyFont="1" applyBorder="1"/>
    <xf numFmtId="0" fontId="27" fillId="56" borderId="64" xfId="0" applyFont="1" applyFill="1" applyBorder="1" applyAlignment="1">
      <alignment horizontal="center" vertical="center"/>
    </xf>
    <xf numFmtId="181" fontId="27" fillId="56" borderId="64" xfId="0" applyNumberFormat="1" applyFont="1" applyFill="1" applyBorder="1"/>
    <xf numFmtId="4" fontId="27" fillId="56" borderId="15" xfId="0" applyNumberFormat="1" applyFont="1" applyFill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right"/>
    </xf>
    <xf numFmtId="0" fontId="27" fillId="46" borderId="64" xfId="0" applyFont="1" applyFill="1" applyBorder="1" applyAlignment="1">
      <alignment horizontal="center" vertical="center"/>
    </xf>
    <xf numFmtId="0" fontId="27" fillId="46" borderId="64" xfId="0" applyFont="1" applyFill="1" applyBorder="1" applyAlignment="1">
      <alignment horizontal="center"/>
    </xf>
    <xf numFmtId="4" fontId="27" fillId="46" borderId="64" xfId="0" applyNumberFormat="1" applyFont="1" applyFill="1" applyBorder="1" applyAlignment="1">
      <alignment horizontal="center"/>
    </xf>
    <xf numFmtId="0" fontId="14" fillId="0" borderId="75" xfId="0" applyFont="1" applyBorder="1" applyAlignment="1">
      <alignment horizontal="center" vertical="center"/>
    </xf>
    <xf numFmtId="0" fontId="14" fillId="47" borderId="75" xfId="0" applyFont="1" applyFill="1" applyBorder="1"/>
    <xf numFmtId="4" fontId="14" fillId="45" borderId="75" xfId="0" applyNumberFormat="1" applyFont="1" applyFill="1" applyBorder="1"/>
    <xf numFmtId="0" fontId="14" fillId="0" borderId="76" xfId="0" applyFont="1" applyBorder="1" applyAlignment="1">
      <alignment horizontal="center" vertical="center"/>
    </xf>
    <xf numFmtId="0" fontId="14" fillId="47" borderId="78" xfId="0" applyFont="1" applyFill="1" applyBorder="1"/>
    <xf numFmtId="0" fontId="14" fillId="0" borderId="78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14" fillId="47" borderId="86" xfId="0" applyFont="1" applyFill="1" applyBorder="1"/>
    <xf numFmtId="4" fontId="14" fillId="45" borderId="86" xfId="0" applyNumberFormat="1" applyFont="1" applyFill="1" applyBorder="1"/>
    <xf numFmtId="0" fontId="25" fillId="0" borderId="84" xfId="0" applyFont="1" applyBorder="1" applyAlignment="1">
      <alignment horizontal="center" vertical="center" wrapText="1"/>
    </xf>
    <xf numFmtId="10" fontId="14" fillId="0" borderId="84" xfId="0" applyNumberFormat="1" applyFont="1" applyBorder="1"/>
    <xf numFmtId="4" fontId="27" fillId="46" borderId="84" xfId="0" applyNumberFormat="1" applyFont="1" applyFill="1" applyBorder="1"/>
    <xf numFmtId="0" fontId="27" fillId="51" borderId="13" xfId="0" applyFont="1" applyFill="1" applyBorder="1" applyAlignment="1">
      <alignment horizontal="center" vertical="center"/>
    </xf>
    <xf numFmtId="181" fontId="27" fillId="51" borderId="64" xfId="0" applyNumberFormat="1" applyFont="1" applyFill="1" applyBorder="1" applyAlignment="1">
      <alignment vertical="center"/>
    </xf>
    <xf numFmtId="4" fontId="27" fillId="50" borderId="15" xfId="0" applyNumberFormat="1" applyFont="1" applyFill="1" applyBorder="1" applyAlignment="1">
      <alignment vertical="center"/>
    </xf>
    <xf numFmtId="0" fontId="27" fillId="52" borderId="64" xfId="0" applyFont="1" applyFill="1" applyBorder="1" applyAlignment="1">
      <alignment horizontal="center" vertical="center"/>
    </xf>
    <xf numFmtId="0" fontId="27" fillId="52" borderId="64" xfId="0" applyFont="1" applyFill="1" applyBorder="1" applyAlignment="1">
      <alignment horizontal="center"/>
    </xf>
    <xf numFmtId="4" fontId="27" fillId="52" borderId="64" xfId="0" applyNumberFormat="1" applyFont="1" applyFill="1" applyBorder="1" applyAlignment="1">
      <alignment horizontal="center"/>
    </xf>
    <xf numFmtId="10" fontId="14" fillId="4" borderId="75" xfId="0" applyNumberFormat="1" applyFont="1" applyFill="1" applyBorder="1"/>
    <xf numFmtId="4" fontId="14" fillId="2" borderId="75" xfId="0" applyNumberFormat="1" applyFont="1" applyFill="1" applyBorder="1"/>
    <xf numFmtId="0" fontId="26" fillId="0" borderId="79" xfId="0" applyFont="1" applyBorder="1" applyAlignment="1">
      <alignment horizontal="left"/>
    </xf>
    <xf numFmtId="0" fontId="26" fillId="0" borderId="80" xfId="0" applyFont="1" applyBorder="1" applyAlignment="1">
      <alignment horizontal="left"/>
    </xf>
    <xf numFmtId="0" fontId="26" fillId="0" borderId="74" xfId="0" applyFont="1" applyBorder="1" applyAlignment="1">
      <alignment horizontal="left"/>
    </xf>
    <xf numFmtId="10" fontId="14" fillId="4" borderId="78" xfId="0" applyNumberFormat="1" applyFont="1" applyFill="1" applyBorder="1"/>
    <xf numFmtId="4" fontId="14" fillId="2" borderId="76" xfId="0" applyNumberFormat="1" applyFont="1" applyFill="1" applyBorder="1"/>
    <xf numFmtId="172" fontId="14" fillId="4" borderId="78" xfId="0" applyNumberFormat="1" applyFont="1" applyFill="1" applyBorder="1"/>
    <xf numFmtId="172" fontId="14" fillId="0" borderId="78" xfId="0" applyNumberFormat="1" applyFont="1" applyBorder="1"/>
    <xf numFmtId="4" fontId="14" fillId="0" borderId="78" xfId="0" applyNumberFormat="1" applyFont="1" applyBorder="1"/>
    <xf numFmtId="4" fontId="14" fillId="2" borderId="78" xfId="0" applyNumberFormat="1" applyFont="1" applyFill="1" applyBorder="1"/>
    <xf numFmtId="0" fontId="14" fillId="0" borderId="84" xfId="0" applyFont="1" applyBorder="1" applyAlignment="1">
      <alignment vertical="center"/>
    </xf>
    <xf numFmtId="4" fontId="27" fillId="52" borderId="84" xfId="0" applyNumberFormat="1" applyFont="1" applyFill="1" applyBorder="1" applyAlignment="1">
      <alignment vertical="center"/>
    </xf>
    <xf numFmtId="0" fontId="27" fillId="0" borderId="0" xfId="0" applyFont="1"/>
    <xf numFmtId="0" fontId="27" fillId="0" borderId="23" xfId="0" applyFont="1" applyBorder="1" applyAlignment="1">
      <alignment horizontal="center" vertical="center"/>
    </xf>
    <xf numFmtId="4" fontId="27" fillId="0" borderId="24" xfId="0" applyNumberFormat="1" applyFont="1" applyBorder="1" applyAlignment="1">
      <alignment horizontal="center" vertical="center" wrapText="1"/>
    </xf>
    <xf numFmtId="4" fontId="27" fillId="0" borderId="25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4" fontId="14" fillId="0" borderId="17" xfId="0" applyNumberFormat="1" applyFont="1" applyBorder="1" applyAlignment="1">
      <alignment horizontal="right" vertical="center"/>
    </xf>
    <xf numFmtId="0" fontId="14" fillId="0" borderId="99" xfId="0" applyFont="1" applyBorder="1" applyAlignment="1">
      <alignment horizontal="center" vertical="center"/>
    </xf>
    <xf numFmtId="4" fontId="14" fillId="0" borderId="100" xfId="0" applyNumberFormat="1" applyFont="1" applyBorder="1" applyAlignment="1">
      <alignment horizontal="right" vertical="center"/>
    </xf>
    <xf numFmtId="4" fontId="14" fillId="0" borderId="101" xfId="0" applyNumberFormat="1" applyFont="1" applyBorder="1" applyAlignment="1">
      <alignment horizontal="right" vertical="center"/>
    </xf>
    <xf numFmtId="0" fontId="27" fillId="16" borderId="19" xfId="0" applyFont="1" applyFill="1" applyBorder="1" applyAlignment="1">
      <alignment horizontal="center" vertical="center"/>
    </xf>
    <xf numFmtId="4" fontId="27" fillId="16" borderId="21" xfId="0" applyNumberFormat="1" applyFont="1" applyFill="1" applyBorder="1" applyAlignment="1">
      <alignment vertical="center"/>
    </xf>
    <xf numFmtId="0" fontId="27" fillId="0" borderId="0" xfId="0" applyFont="1" applyAlignment="1">
      <alignment horizontal="right" vertical="center"/>
    </xf>
    <xf numFmtId="0" fontId="27" fillId="0" borderId="102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17" xfId="0" applyNumberFormat="1" applyFont="1" applyBorder="1" applyAlignment="1">
      <alignment horizontal="center" vertical="center" wrapText="1"/>
    </xf>
    <xf numFmtId="0" fontId="27" fillId="16" borderId="16" xfId="0" applyFont="1" applyFill="1" applyBorder="1" applyAlignment="1">
      <alignment horizontal="center" vertical="center"/>
    </xf>
    <xf numFmtId="4" fontId="27" fillId="16" borderId="1" xfId="0" applyNumberFormat="1" applyFont="1" applyFill="1" applyBorder="1" applyAlignment="1">
      <alignment horizontal="center" vertical="center"/>
    </xf>
    <xf numFmtId="4" fontId="27" fillId="16" borderId="17" xfId="0" applyNumberFormat="1" applyFont="1" applyFill="1" applyBorder="1" applyAlignment="1">
      <alignment horizontal="center" vertical="center"/>
    </xf>
    <xf numFmtId="0" fontId="27" fillId="53" borderId="99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justify"/>
    </xf>
    <xf numFmtId="4" fontId="14" fillId="0" borderId="9" xfId="0" applyNumberFormat="1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14" fontId="14" fillId="0" borderId="1" xfId="0" applyNumberFormat="1" applyFont="1" applyBorder="1" applyAlignment="1">
      <alignment horizontal="center" wrapText="1"/>
    </xf>
    <xf numFmtId="43" fontId="14" fillId="0" borderId="1" xfId="1" applyFont="1" applyBorder="1" applyAlignment="1">
      <alignment wrapText="1"/>
    </xf>
    <xf numFmtId="0" fontId="14" fillId="0" borderId="7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14" fillId="0" borderId="1" xfId="0" applyNumberFormat="1" applyFont="1" applyBorder="1"/>
    <xf numFmtId="43" fontId="2" fillId="0" borderId="0" xfId="1" applyFont="1" applyAlignment="1">
      <alignment horizontal="center"/>
    </xf>
    <xf numFmtId="49" fontId="14" fillId="0" borderId="1" xfId="0" applyNumberFormat="1" applyFont="1" applyBorder="1" applyAlignment="1">
      <alignment horizontal="left" vertical="center"/>
    </xf>
    <xf numFmtId="4" fontId="20" fillId="0" borderId="0" xfId="0" applyNumberFormat="1" applyFont="1" applyAlignment="1">
      <alignment horizontal="center" vertical="center"/>
    </xf>
    <xf numFmtId="1" fontId="20" fillId="8" borderId="37" xfId="0" applyNumberFormat="1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10" fontId="20" fillId="9" borderId="1" xfId="6" applyNumberFormat="1" applyFont="1" applyFill="1" applyBorder="1" applyAlignment="1">
      <alignment horizontal="right" vertical="center"/>
    </xf>
    <xf numFmtId="4" fontId="20" fillId="9" borderId="1" xfId="6" applyNumberFormat="1" applyFont="1" applyFill="1" applyBorder="1" applyAlignment="1">
      <alignment horizontal="right" vertical="center"/>
    </xf>
    <xf numFmtId="0" fontId="20" fillId="9" borderId="24" xfId="0" applyFont="1" applyFill="1" applyBorder="1" applyAlignment="1">
      <alignment horizontal="center" vertical="center"/>
    </xf>
    <xf numFmtId="4" fontId="20" fillId="9" borderId="24" xfId="0" applyNumberFormat="1" applyFont="1" applyFill="1" applyBorder="1" applyAlignment="1">
      <alignment vertical="center"/>
    </xf>
    <xf numFmtId="4" fontId="20" fillId="9" borderId="25" xfId="0" applyNumberFormat="1" applyFont="1" applyFill="1" applyBorder="1" applyAlignment="1">
      <alignment horizontal="center" vertical="center"/>
    </xf>
    <xf numFmtId="4" fontId="20" fillId="9" borderId="17" xfId="0" applyNumberFormat="1" applyFont="1" applyFill="1" applyBorder="1" applyAlignment="1">
      <alignment horizontal="center" vertical="center"/>
    </xf>
    <xf numFmtId="0" fontId="20" fillId="9" borderId="100" xfId="0" applyFont="1" applyFill="1" applyBorder="1" applyAlignment="1">
      <alignment horizontal="center" vertical="center"/>
    </xf>
    <xf numFmtId="4" fontId="20" fillId="9" borderId="100" xfId="0" applyNumberFormat="1" applyFont="1" applyFill="1" applyBorder="1" applyAlignment="1">
      <alignment horizontal="right" vertical="center"/>
    </xf>
    <xf numFmtId="4" fontId="20" fillId="9" borderId="101" xfId="0" applyNumberFormat="1" applyFont="1" applyFill="1" applyBorder="1" applyAlignment="1">
      <alignment horizontal="center" vertical="center"/>
    </xf>
    <xf numFmtId="43" fontId="9" fillId="6" borderId="1" xfId="1" applyFont="1" applyFill="1" applyBorder="1" applyAlignment="1">
      <alignment horizontal="justify" vertical="center"/>
    </xf>
    <xf numFmtId="0" fontId="21" fillId="0" borderId="0" xfId="8" applyFont="1" applyAlignment="1">
      <alignment horizontal="center" vertical="center"/>
    </xf>
    <xf numFmtId="4" fontId="21" fillId="0" borderId="0" xfId="8" applyNumberFormat="1" applyFont="1" applyAlignment="1">
      <alignment horizontal="center" vertical="center"/>
    </xf>
    <xf numFmtId="4" fontId="20" fillId="9" borderId="24" xfId="0" applyNumberFormat="1" applyFont="1" applyFill="1" applyBorder="1" applyAlignment="1">
      <alignment horizontal="center" vertical="center"/>
    </xf>
    <xf numFmtId="10" fontId="20" fillId="9" borderId="1" xfId="6" applyNumberFormat="1" applyFont="1" applyFill="1" applyBorder="1" applyAlignment="1">
      <alignment horizontal="center" vertical="center"/>
    </xf>
    <xf numFmtId="4" fontId="20" fillId="9" borderId="14" xfId="0" applyNumberFormat="1" applyFont="1" applyFill="1" applyBorder="1" applyAlignment="1">
      <alignment horizontal="center" vertical="center"/>
    </xf>
    <xf numFmtId="10" fontId="20" fillId="9" borderId="14" xfId="6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 wrapText="1"/>
    </xf>
    <xf numFmtId="0" fontId="27" fillId="21" borderId="105" xfId="0" applyFont="1" applyFill="1" applyBorder="1" applyAlignment="1">
      <alignment horizontal="center" vertical="center"/>
    </xf>
    <xf numFmtId="0" fontId="27" fillId="21" borderId="88" xfId="0" applyFont="1" applyFill="1" applyBorder="1" applyAlignment="1">
      <alignment horizontal="center"/>
    </xf>
    <xf numFmtId="43" fontId="9" fillId="6" borderId="1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9" fillId="0" borderId="0" xfId="0" applyFont="1" applyAlignment="1">
      <alignment horizontal="center" vertical="center"/>
    </xf>
    <xf numFmtId="0" fontId="40" fillId="59" borderId="64" xfId="0" applyFont="1" applyFill="1" applyBorder="1" applyAlignment="1">
      <alignment horizontal="center" vertical="center" wrapText="1"/>
    </xf>
    <xf numFmtId="0" fontId="40" fillId="59" borderId="15" xfId="0" applyFont="1" applyFill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 wrapText="1"/>
    </xf>
    <xf numFmtId="0" fontId="2" fillId="0" borderId="88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43" fontId="39" fillId="3" borderId="21" xfId="1" applyFont="1" applyFill="1" applyBorder="1" applyAlignment="1">
      <alignment horizontal="center" vertical="center" wrapText="1"/>
    </xf>
    <xf numFmtId="4" fontId="33" fillId="48" borderId="70" xfId="0" applyNumberFormat="1" applyFont="1" applyFill="1" applyBorder="1"/>
    <xf numFmtId="39" fontId="33" fillId="44" borderId="71" xfId="71" applyNumberFormat="1" applyFont="1" applyFill="1" applyBorder="1"/>
    <xf numFmtId="14" fontId="33" fillId="0" borderId="1" xfId="0" applyNumberFormat="1" applyFont="1" applyBorder="1" applyAlignment="1">
      <alignment wrapText="1"/>
    </xf>
    <xf numFmtId="4" fontId="27" fillId="53" borderId="103" xfId="0" applyNumberFormat="1" applyFont="1" applyFill="1" applyBorder="1" applyAlignment="1">
      <alignment horizontal="center" vertical="center"/>
    </xf>
    <xf numFmtId="4" fontId="27" fillId="53" borderId="82" xfId="0" applyNumberFormat="1" applyFont="1" applyFill="1" applyBorder="1" applyAlignment="1">
      <alignment horizontal="center" vertical="center"/>
    </xf>
    <xf numFmtId="4" fontId="27" fillId="53" borderId="83" xfId="0" applyNumberFormat="1" applyFont="1" applyFill="1" applyBorder="1" applyAlignment="1">
      <alignment horizontal="center" vertical="center"/>
    </xf>
    <xf numFmtId="0" fontId="27" fillId="53" borderId="100" xfId="0" applyFont="1" applyFill="1" applyBorder="1" applyAlignment="1">
      <alignment horizontal="center" vertical="center"/>
    </xf>
    <xf numFmtId="0" fontId="14" fillId="0" borderId="100" xfId="0" applyFont="1" applyBorder="1" applyAlignment="1">
      <alignment horizontal="left"/>
    </xf>
    <xf numFmtId="0" fontId="27" fillId="56" borderId="13" xfId="0" applyFont="1" applyFill="1" applyBorder="1" applyAlignment="1">
      <alignment horizontal="left"/>
    </xf>
    <xf numFmtId="0" fontId="27" fillId="56" borderId="14" xfId="0" applyFont="1" applyFill="1" applyBorder="1" applyAlignment="1">
      <alignment horizontal="left"/>
    </xf>
    <xf numFmtId="0" fontId="27" fillId="56" borderId="15" xfId="0" applyFont="1" applyFill="1" applyBorder="1" applyAlignment="1">
      <alignment horizontal="left"/>
    </xf>
    <xf numFmtId="0" fontId="27" fillId="55" borderId="28" xfId="0" applyFont="1" applyFill="1" applyBorder="1" applyAlignment="1">
      <alignment horizontal="left"/>
    </xf>
    <xf numFmtId="0" fontId="27" fillId="16" borderId="34" xfId="0" applyFont="1" applyFill="1" applyBorder="1" applyAlignment="1">
      <alignment horizontal="center" vertical="center"/>
    </xf>
    <xf numFmtId="0" fontId="27" fillId="16" borderId="35" xfId="0" applyFont="1" applyFill="1" applyBorder="1" applyAlignment="1">
      <alignment horizontal="center" vertical="center"/>
    </xf>
    <xf numFmtId="0" fontId="27" fillId="16" borderId="36" xfId="0" applyFont="1" applyFill="1" applyBorder="1" applyAlignment="1">
      <alignment horizontal="center" vertical="center"/>
    </xf>
    <xf numFmtId="0" fontId="27" fillId="46" borderId="13" xfId="0" applyFont="1" applyFill="1" applyBorder="1" applyAlignment="1">
      <alignment horizontal="center" wrapText="1"/>
    </xf>
    <xf numFmtId="0" fontId="27" fillId="46" borderId="14" xfId="0" applyFont="1" applyFill="1" applyBorder="1" applyAlignment="1">
      <alignment horizontal="center" wrapText="1"/>
    </xf>
    <xf numFmtId="0" fontId="27" fillId="46" borderId="15" xfId="0" applyFont="1" applyFill="1" applyBorder="1" applyAlignment="1">
      <alignment horizontal="center" wrapText="1"/>
    </xf>
    <xf numFmtId="0" fontId="14" fillId="0" borderId="66" xfId="0" applyFont="1" applyBorder="1" applyAlignment="1">
      <alignment horizontal="left"/>
    </xf>
    <xf numFmtId="0" fontId="14" fillId="0" borderId="67" xfId="0" applyFont="1" applyBorder="1" applyAlignment="1">
      <alignment horizontal="left"/>
    </xf>
    <xf numFmtId="0" fontId="14" fillId="0" borderId="71" xfId="0" applyFont="1" applyBorder="1" applyAlignment="1">
      <alignment horizontal="left"/>
    </xf>
    <xf numFmtId="0" fontId="14" fillId="0" borderId="60" xfId="0" applyFont="1" applyBorder="1" applyAlignment="1">
      <alignment horizontal="left"/>
    </xf>
    <xf numFmtId="0" fontId="14" fillId="0" borderId="61" xfId="0" applyFont="1" applyBorder="1" applyAlignment="1">
      <alignment horizontal="left"/>
    </xf>
    <xf numFmtId="0" fontId="14" fillId="0" borderId="72" xfId="0" applyFont="1" applyBorder="1" applyAlignment="1">
      <alignment horizontal="left"/>
    </xf>
    <xf numFmtId="0" fontId="26" fillId="0" borderId="60" xfId="0" applyFont="1" applyBorder="1" applyAlignment="1">
      <alignment horizontal="left"/>
    </xf>
    <xf numFmtId="0" fontId="26" fillId="0" borderId="61" xfId="0" applyFont="1" applyBorder="1" applyAlignment="1">
      <alignment horizontal="left"/>
    </xf>
    <xf numFmtId="0" fontId="26" fillId="0" borderId="72" xfId="0" applyFont="1" applyBorder="1" applyAlignment="1">
      <alignment horizontal="left"/>
    </xf>
    <xf numFmtId="0" fontId="25" fillId="0" borderId="81" xfId="0" applyFont="1" applyBorder="1" applyAlignment="1">
      <alignment horizontal="right" wrapText="1"/>
    </xf>
    <xf numFmtId="0" fontId="25" fillId="0" borderId="82" xfId="0" applyFont="1" applyBorder="1" applyAlignment="1">
      <alignment horizontal="right" wrapText="1"/>
    </xf>
    <xf numFmtId="0" fontId="25" fillId="0" borderId="83" xfId="0" applyFont="1" applyBorder="1" applyAlignment="1">
      <alignment horizontal="right" wrapText="1"/>
    </xf>
    <xf numFmtId="0" fontId="14" fillId="0" borderId="4" xfId="0" applyFont="1" applyBorder="1" applyAlignment="1">
      <alignment horizontal="left"/>
    </xf>
    <xf numFmtId="0" fontId="27" fillId="0" borderId="62" xfId="0" applyFont="1" applyBorder="1" applyAlignment="1">
      <alignment horizontal="right"/>
    </xf>
    <xf numFmtId="0" fontId="27" fillId="0" borderId="63" xfId="0" applyFont="1" applyBorder="1" applyAlignment="1">
      <alignment horizontal="right"/>
    </xf>
    <xf numFmtId="0" fontId="27" fillId="0" borderId="58" xfId="0" applyFont="1" applyBorder="1" applyAlignment="1">
      <alignment horizontal="right"/>
    </xf>
    <xf numFmtId="0" fontId="27" fillId="16" borderId="19" xfId="0" applyFont="1" applyFill="1" applyBorder="1" applyAlignment="1">
      <alignment horizontal="right" vertical="center"/>
    </xf>
    <xf numFmtId="0" fontId="27" fillId="16" borderId="20" xfId="0" applyFont="1" applyFill="1" applyBorder="1" applyAlignment="1">
      <alignment horizontal="right" vertical="center"/>
    </xf>
    <xf numFmtId="0" fontId="27" fillId="16" borderId="21" xfId="0" applyFont="1" applyFill="1" applyBorder="1" applyAlignment="1">
      <alignment horizontal="right" vertical="center"/>
    </xf>
    <xf numFmtId="0" fontId="68" fillId="0" borderId="6" xfId="0" applyFont="1" applyBorder="1" applyAlignment="1">
      <alignment horizontal="center"/>
    </xf>
    <xf numFmtId="0" fontId="68" fillId="0" borderId="8" xfId="0" applyFont="1" applyBorder="1" applyAlignment="1">
      <alignment horizontal="center"/>
    </xf>
    <xf numFmtId="0" fontId="68" fillId="0" borderId="9" xfId="0" applyFont="1" applyBorder="1" applyAlignment="1">
      <alignment horizontal="center"/>
    </xf>
    <xf numFmtId="0" fontId="67" fillId="0" borderId="32" xfId="0" applyFont="1" applyBorder="1" applyAlignment="1">
      <alignment horizontal="center"/>
    </xf>
    <xf numFmtId="0" fontId="67" fillId="0" borderId="10" xfId="0" applyFont="1" applyBorder="1" applyAlignment="1">
      <alignment horizontal="center"/>
    </xf>
    <xf numFmtId="0" fontId="67" fillId="0" borderId="12" xfId="0" applyFont="1" applyBorder="1" applyAlignment="1">
      <alignment horizontal="center"/>
    </xf>
    <xf numFmtId="0" fontId="14" fillId="0" borderId="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21" borderId="19" xfId="0" applyFont="1" applyFill="1" applyBorder="1" applyAlignment="1">
      <alignment horizontal="left"/>
    </xf>
    <xf numFmtId="0" fontId="27" fillId="21" borderId="20" xfId="0" applyFont="1" applyFill="1" applyBorder="1" applyAlignment="1">
      <alignment horizontal="left"/>
    </xf>
    <xf numFmtId="0" fontId="27" fillId="21" borderId="21" xfId="0" applyFont="1" applyFill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27" fillId="9" borderId="13" xfId="0" applyFont="1" applyFill="1" applyBorder="1" applyAlignment="1">
      <alignment horizontal="left"/>
    </xf>
    <xf numFmtId="0" fontId="27" fillId="9" borderId="14" xfId="0" applyFont="1" applyFill="1" applyBorder="1" applyAlignment="1">
      <alignment horizontal="left"/>
    </xf>
    <xf numFmtId="0" fontId="27" fillId="9" borderId="59" xfId="0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17" xfId="0" applyFont="1" applyBorder="1" applyAlignment="1">
      <alignment horizontal="left"/>
    </xf>
    <xf numFmtId="0" fontId="14" fillId="0" borderId="23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14" fillId="0" borderId="25" xfId="0" applyFont="1" applyBorder="1" applyAlignment="1">
      <alignment horizontal="left"/>
    </xf>
    <xf numFmtId="0" fontId="27" fillId="54" borderId="34" xfId="0" applyFont="1" applyFill="1" applyBorder="1" applyAlignment="1">
      <alignment horizontal="left"/>
    </xf>
    <xf numFmtId="0" fontId="27" fillId="54" borderId="35" xfId="0" applyFont="1" applyFill="1" applyBorder="1" applyAlignment="1">
      <alignment horizontal="left"/>
    </xf>
    <xf numFmtId="0" fontId="27" fillId="54" borderId="95" xfId="0" applyFont="1" applyFill="1" applyBorder="1" applyAlignment="1">
      <alignment horizontal="left"/>
    </xf>
    <xf numFmtId="0" fontId="14" fillId="0" borderId="57" xfId="0" applyFont="1" applyBorder="1" applyAlignment="1">
      <alignment horizontal="left"/>
    </xf>
    <xf numFmtId="0" fontId="14" fillId="0" borderId="68" xfId="0" applyFont="1" applyBorder="1" applyAlignment="1">
      <alignment horizontal="left"/>
    </xf>
    <xf numFmtId="0" fontId="27" fillId="49" borderId="13" xfId="0" applyFont="1" applyFill="1" applyBorder="1" applyAlignment="1">
      <alignment horizontal="left"/>
    </xf>
    <xf numFmtId="0" fontId="27" fillId="49" borderId="14" xfId="0" applyFont="1" applyFill="1" applyBorder="1" applyAlignment="1">
      <alignment horizontal="left"/>
    </xf>
    <xf numFmtId="0" fontId="27" fillId="0" borderId="73" xfId="0" applyFont="1" applyBorder="1" applyAlignment="1">
      <alignment horizontal="right"/>
    </xf>
    <xf numFmtId="0" fontId="27" fillId="9" borderId="13" xfId="0" applyFont="1" applyFill="1" applyBorder="1" applyAlignment="1">
      <alignment horizontal="left" vertical="center" wrapText="1"/>
    </xf>
    <xf numFmtId="0" fontId="27" fillId="9" borderId="14" xfId="0" applyFont="1" applyFill="1" applyBorder="1" applyAlignment="1">
      <alignment horizontal="left" vertical="center" wrapText="1"/>
    </xf>
    <xf numFmtId="0" fontId="27" fillId="9" borderId="59" xfId="0" applyFont="1" applyFill="1" applyBorder="1" applyAlignment="1">
      <alignment horizontal="left" vertical="center" wrapText="1"/>
    </xf>
    <xf numFmtId="0" fontId="27" fillId="1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right"/>
    </xf>
    <xf numFmtId="0" fontId="27" fillId="0" borderId="20" xfId="0" applyFont="1" applyBorder="1" applyAlignment="1">
      <alignment horizontal="right"/>
    </xf>
    <xf numFmtId="0" fontId="27" fillId="0" borderId="21" xfId="0" applyFont="1" applyBorder="1" applyAlignment="1">
      <alignment horizontal="right"/>
    </xf>
    <xf numFmtId="4" fontId="14" fillId="0" borderId="5" xfId="0" applyNumberFormat="1" applyFont="1" applyBorder="1" applyAlignment="1">
      <alignment horizontal="center" vertical="center" wrapText="1"/>
    </xf>
    <xf numFmtId="0" fontId="27" fillId="53" borderId="23" xfId="0" applyFont="1" applyFill="1" applyBorder="1" applyAlignment="1">
      <alignment horizontal="center" vertical="center"/>
    </xf>
    <xf numFmtId="0" fontId="27" fillId="53" borderId="24" xfId="0" applyFont="1" applyFill="1" applyBorder="1" applyAlignment="1">
      <alignment horizontal="center" vertical="center"/>
    </xf>
    <xf numFmtId="0" fontId="27" fillId="53" borderId="25" xfId="0" applyFont="1" applyFill="1" applyBorder="1" applyAlignment="1">
      <alignment horizontal="center" vertical="center"/>
    </xf>
    <xf numFmtId="0" fontId="27" fillId="0" borderId="60" xfId="0" applyFont="1" applyBorder="1" applyAlignment="1">
      <alignment horizontal="right"/>
    </xf>
    <xf numFmtId="0" fontId="27" fillId="0" borderId="61" xfId="0" applyFont="1" applyBorder="1" applyAlignment="1">
      <alignment horizontal="right"/>
    </xf>
    <xf numFmtId="0" fontId="27" fillId="0" borderId="72" xfId="0" applyFont="1" applyBorder="1" applyAlignment="1">
      <alignment horizontal="right"/>
    </xf>
    <xf numFmtId="0" fontId="27" fillId="56" borderId="13" xfId="0" applyFont="1" applyFill="1" applyBorder="1" applyAlignment="1">
      <alignment horizontal="right" wrapText="1"/>
    </xf>
    <xf numFmtId="0" fontId="27" fillId="56" borderId="14" xfId="0" applyFont="1" applyFill="1" applyBorder="1" applyAlignment="1">
      <alignment horizontal="right" wrapText="1"/>
    </xf>
    <xf numFmtId="0" fontId="27" fillId="56" borderId="15" xfId="0" applyFont="1" applyFill="1" applyBorder="1" applyAlignment="1">
      <alignment horizontal="right" wrapText="1"/>
    </xf>
    <xf numFmtId="0" fontId="27" fillId="0" borderId="24" xfId="0" applyFont="1" applyBorder="1" applyAlignment="1">
      <alignment horizontal="left" vertical="center" wrapText="1"/>
    </xf>
    <xf numFmtId="0" fontId="27" fillId="52" borderId="13" xfId="0" applyFont="1" applyFill="1" applyBorder="1" applyAlignment="1">
      <alignment horizontal="left"/>
    </xf>
    <xf numFmtId="0" fontId="27" fillId="52" borderId="14" xfId="0" applyFont="1" applyFill="1" applyBorder="1" applyAlignment="1">
      <alignment horizontal="left"/>
    </xf>
    <xf numFmtId="0" fontId="27" fillId="52" borderId="15" xfId="0" applyFont="1" applyFill="1" applyBorder="1" applyAlignment="1">
      <alignment horizontal="left"/>
    </xf>
    <xf numFmtId="0" fontId="27" fillId="49" borderId="13" xfId="0" applyFont="1" applyFill="1" applyBorder="1" applyAlignment="1">
      <alignment horizontal="right" wrapText="1"/>
    </xf>
    <xf numFmtId="0" fontId="27" fillId="49" borderId="14" xfId="0" applyFont="1" applyFill="1" applyBorder="1" applyAlignment="1">
      <alignment horizontal="right" wrapText="1"/>
    </xf>
    <xf numFmtId="0" fontId="27" fillId="49" borderId="15" xfId="0" applyFont="1" applyFill="1" applyBorder="1" applyAlignment="1">
      <alignment horizontal="right" wrapText="1"/>
    </xf>
    <xf numFmtId="0" fontId="26" fillId="0" borderId="79" xfId="0" applyFont="1" applyBorder="1" applyAlignment="1">
      <alignment horizontal="left"/>
    </xf>
    <xf numFmtId="0" fontId="26" fillId="0" borderId="80" xfId="0" applyFont="1" applyBorder="1" applyAlignment="1">
      <alignment horizontal="left"/>
    </xf>
    <xf numFmtId="0" fontId="26" fillId="0" borderId="74" xfId="0" applyFont="1" applyBorder="1" applyAlignment="1">
      <alignment horizontal="left"/>
    </xf>
    <xf numFmtId="0" fontId="27" fillId="51" borderId="13" xfId="0" applyFont="1" applyFill="1" applyBorder="1" applyAlignment="1">
      <alignment horizontal="right" vertical="center"/>
    </xf>
    <xf numFmtId="0" fontId="27" fillId="51" borderId="14" xfId="0" applyFont="1" applyFill="1" applyBorder="1" applyAlignment="1">
      <alignment horizontal="right" vertical="center"/>
    </xf>
    <xf numFmtId="0" fontId="27" fillId="51" borderId="15" xfId="0" applyFont="1" applyFill="1" applyBorder="1" applyAlignment="1">
      <alignment horizontal="right" vertical="center"/>
    </xf>
    <xf numFmtId="0" fontId="27" fillId="0" borderId="104" xfId="0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27" fillId="0" borderId="11" xfId="0" applyFont="1" applyBorder="1" applyAlignment="1">
      <alignment horizontal="center" wrapText="1"/>
    </xf>
    <xf numFmtId="0" fontId="14" fillId="0" borderId="7" xfId="0" applyFont="1" applyBorder="1" applyAlignment="1">
      <alignment horizontal="left"/>
    </xf>
    <xf numFmtId="0" fontId="14" fillId="0" borderId="2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1" xfId="0" applyFont="1" applyBorder="1" applyAlignment="1">
      <alignment horizontal="center"/>
    </xf>
    <xf numFmtId="0" fontId="27" fillId="0" borderId="32" xfId="0" applyFont="1" applyBorder="1" applyAlignment="1">
      <alignment horizontal="left"/>
    </xf>
    <xf numFmtId="0" fontId="27" fillId="0" borderId="10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33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31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8" xfId="0" applyFont="1" applyBorder="1" applyAlignment="1">
      <alignment horizontal="left"/>
    </xf>
    <xf numFmtId="0" fontId="27" fillId="0" borderId="9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right"/>
    </xf>
    <xf numFmtId="0" fontId="41" fillId="16" borderId="34" xfId="0" applyFont="1" applyFill="1" applyBorder="1" applyAlignment="1">
      <alignment horizontal="center"/>
    </xf>
    <xf numFmtId="0" fontId="41" fillId="16" borderId="35" xfId="0" applyFont="1" applyFill="1" applyBorder="1" applyAlignment="1">
      <alignment horizontal="center"/>
    </xf>
    <xf numFmtId="0" fontId="41" fillId="16" borderId="36" xfId="0" applyFont="1" applyFill="1" applyBorder="1" applyAlignment="1">
      <alignment horizontal="center"/>
    </xf>
    <xf numFmtId="0" fontId="41" fillId="16" borderId="19" xfId="0" applyFont="1" applyFill="1" applyBorder="1" applyAlignment="1">
      <alignment horizontal="center"/>
    </xf>
    <xf numFmtId="0" fontId="41" fillId="16" borderId="20" xfId="0" applyFont="1" applyFill="1" applyBorder="1" applyAlignment="1">
      <alignment horizontal="center"/>
    </xf>
    <xf numFmtId="0" fontId="41" fillId="16" borderId="2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1" fillId="18" borderId="34" xfId="0" applyFont="1" applyFill="1" applyBorder="1" applyAlignment="1">
      <alignment horizontal="center"/>
    </xf>
    <xf numFmtId="0" fontId="41" fillId="18" borderId="35" xfId="0" applyFont="1" applyFill="1" applyBorder="1" applyAlignment="1">
      <alignment horizontal="center"/>
    </xf>
    <xf numFmtId="0" fontId="41" fillId="18" borderId="19" xfId="0" applyFont="1" applyFill="1" applyBorder="1" applyAlignment="1">
      <alignment horizontal="center"/>
    </xf>
    <xf numFmtId="0" fontId="41" fillId="18" borderId="20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justify" vertical="center"/>
    </xf>
    <xf numFmtId="0" fontId="2" fillId="0" borderId="8" xfId="0" applyFont="1" applyBorder="1"/>
    <xf numFmtId="0" fontId="2" fillId="0" borderId="9" xfId="0" applyFont="1" applyBorder="1"/>
    <xf numFmtId="0" fontId="14" fillId="0" borderId="32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2" fillId="0" borderId="12" xfId="0" applyFont="1" applyBorder="1"/>
    <xf numFmtId="165" fontId="16" fillId="2" borderId="2" xfId="2" applyNumberFormat="1" applyFont="1" applyFill="1" applyBorder="1" applyAlignment="1">
      <alignment horizontal="right" vertical="center"/>
    </xf>
    <xf numFmtId="165" fontId="16" fillId="2" borderId="11" xfId="2" applyNumberFormat="1" applyFont="1" applyFill="1" applyBorder="1" applyAlignment="1">
      <alignment horizontal="right" vertical="center"/>
    </xf>
    <xf numFmtId="165" fontId="16" fillId="2" borderId="7" xfId="2" applyNumberFormat="1" applyFont="1" applyFill="1" applyBorder="1" applyAlignment="1">
      <alignment horizontal="right" vertical="center"/>
    </xf>
    <xf numFmtId="165" fontId="27" fillId="20" borderId="1" xfId="2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8" fillId="19" borderId="2" xfId="0" applyFont="1" applyFill="1" applyBorder="1" applyAlignment="1">
      <alignment horizontal="center" vertical="center"/>
    </xf>
    <xf numFmtId="0" fontId="28" fillId="19" borderId="11" xfId="0" applyFont="1" applyFill="1" applyBorder="1" applyAlignment="1">
      <alignment horizontal="center" vertical="center"/>
    </xf>
    <xf numFmtId="0" fontId="28" fillId="19" borderId="7" xfId="0" applyFont="1" applyFill="1" applyBorder="1" applyAlignment="1">
      <alignment horizontal="center" vertical="center"/>
    </xf>
    <xf numFmtId="4" fontId="20" fillId="9" borderId="14" xfId="0" applyNumberFormat="1" applyFont="1" applyFill="1" applyBorder="1" applyAlignment="1">
      <alignment horizontal="right" vertical="center"/>
    </xf>
    <xf numFmtId="0" fontId="20" fillId="9" borderId="13" xfId="0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/>
    </xf>
    <xf numFmtId="0" fontId="20" fillId="9" borderId="15" xfId="0" applyFont="1" applyFill="1" applyBorder="1" applyAlignment="1">
      <alignment horizontal="center" vertical="center"/>
    </xf>
    <xf numFmtId="0" fontId="20" fillId="9" borderId="13" xfId="0" applyFont="1" applyFill="1" applyBorder="1" applyAlignment="1">
      <alignment horizontal="right" vertical="center"/>
    </xf>
    <xf numFmtId="0" fontId="20" fillId="9" borderId="14" xfId="0" applyFont="1" applyFill="1" applyBorder="1" applyAlignment="1">
      <alignment horizontal="right" vertical="center"/>
    </xf>
    <xf numFmtId="0" fontId="20" fillId="9" borderId="26" xfId="0" applyFont="1" applyFill="1" applyBorder="1" applyAlignment="1">
      <alignment horizontal="right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9" borderId="23" xfId="0" applyFont="1" applyFill="1" applyBorder="1" applyAlignment="1">
      <alignment horizontal="right" vertical="center"/>
    </xf>
    <xf numFmtId="0" fontId="20" fillId="9" borderId="24" xfId="0" applyFont="1" applyFill="1" applyBorder="1" applyAlignment="1">
      <alignment horizontal="right" vertical="center"/>
    </xf>
    <xf numFmtId="0" fontId="20" fillId="9" borderId="16" xfId="0" applyFont="1" applyFill="1" applyBorder="1" applyAlignment="1">
      <alignment horizontal="right" vertical="center"/>
    </xf>
    <xf numFmtId="0" fontId="20" fillId="9" borderId="1" xfId="0" applyFont="1" applyFill="1" applyBorder="1" applyAlignment="1">
      <alignment horizontal="right" vertical="center"/>
    </xf>
    <xf numFmtId="0" fontId="20" fillId="9" borderId="99" xfId="0" applyFont="1" applyFill="1" applyBorder="1" applyAlignment="1">
      <alignment horizontal="right" vertical="center"/>
    </xf>
    <xf numFmtId="0" fontId="20" fillId="9" borderId="100" xfId="0" applyFont="1" applyFill="1" applyBorder="1" applyAlignment="1">
      <alignment horizontal="right" vertical="center"/>
    </xf>
    <xf numFmtId="4" fontId="20" fillId="9" borderId="100" xfId="0" applyNumberFormat="1" applyFont="1" applyFill="1" applyBorder="1" applyAlignment="1">
      <alignment horizontal="right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9" fillId="6" borderId="0" xfId="3" applyFont="1" applyFill="1" applyAlignment="1">
      <alignment horizontal="left" vertical="center" wrapText="1"/>
    </xf>
    <xf numFmtId="0" fontId="19" fillId="6" borderId="0" xfId="3" applyFont="1" applyFill="1" applyAlignment="1">
      <alignment horizontal="center" vertical="center" wrapText="1"/>
    </xf>
    <xf numFmtId="0" fontId="31" fillId="8" borderId="13" xfId="8" applyFont="1" applyFill="1" applyBorder="1" applyAlignment="1">
      <alignment horizontal="center" vertical="center" wrapText="1"/>
    </xf>
    <xf numFmtId="0" fontId="31" fillId="8" borderId="14" xfId="8" applyFont="1" applyFill="1" applyBorder="1" applyAlignment="1">
      <alignment horizontal="center" vertical="center"/>
    </xf>
    <xf numFmtId="0" fontId="31" fillId="8" borderId="15" xfId="8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6" borderId="14" xfId="0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20" fillId="8" borderId="27" xfId="0" applyFont="1" applyFill="1" applyBorder="1" applyAlignment="1">
      <alignment horizontal="left" vertical="center"/>
    </xf>
    <xf numFmtId="0" fontId="20" fillId="8" borderId="14" xfId="0" applyFont="1" applyFill="1" applyBorder="1" applyAlignment="1">
      <alignment horizontal="left" vertical="center"/>
    </xf>
    <xf numFmtId="0" fontId="20" fillId="8" borderId="15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9" fillId="3" borderId="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10" xfId="0" applyBorder="1" applyAlignment="1">
      <alignment horizontal="center"/>
    </xf>
    <xf numFmtId="0" fontId="30" fillId="11" borderId="1" xfId="0" applyFont="1" applyFill="1" applyBorder="1" applyAlignment="1">
      <alignment horizontal="center"/>
    </xf>
    <xf numFmtId="0" fontId="40" fillId="3" borderId="13" xfId="0" applyFont="1" applyFill="1" applyBorder="1" applyAlignment="1">
      <alignment horizontal="center" vertical="center" wrapText="1"/>
    </xf>
    <xf numFmtId="0" fontId="40" fillId="3" borderId="15" xfId="0" applyFont="1" applyFill="1" applyBorder="1" applyAlignment="1">
      <alignment horizontal="center" vertical="center" wrapText="1"/>
    </xf>
    <xf numFmtId="43" fontId="2" fillId="0" borderId="106" xfId="1" applyFont="1" applyBorder="1" applyAlignment="1">
      <alignment horizontal="center" vertical="center" wrapText="1"/>
    </xf>
    <xf numFmtId="43" fontId="2" fillId="0" borderId="86" xfId="1" applyFont="1" applyBorder="1" applyAlignment="1">
      <alignment horizontal="center" vertical="center" wrapText="1"/>
    </xf>
    <xf numFmtId="43" fontId="2" fillId="0" borderId="88" xfId="1" applyFont="1" applyBorder="1" applyAlignment="1">
      <alignment horizontal="center" vertical="center" wrapText="1"/>
    </xf>
    <xf numFmtId="43" fontId="14" fillId="0" borderId="0" xfId="0" applyNumberFormat="1" applyFont="1"/>
  </cellXfs>
  <cellStyles count="84">
    <cellStyle name="20% - Ênfase1 2" xfId="36" xr:uid="{4822C376-D20C-4473-B356-C1F096C8541B}"/>
    <cellStyle name="20% - Ênfase2 2" xfId="37" xr:uid="{72A7A442-F970-4C7D-96BF-2A2C89907BF0}"/>
    <cellStyle name="20% - Ênfase3 2" xfId="38" xr:uid="{B5F35AD4-780D-4F37-AC06-8131DA3C8619}"/>
    <cellStyle name="20% - Ênfase4 2" xfId="39" xr:uid="{79B6353B-DBD1-4A74-8F6F-05146800340B}"/>
    <cellStyle name="20% - Ênfase5 2" xfId="40" xr:uid="{4FEECEEB-306F-4620-9B3D-9C5A12676CD9}"/>
    <cellStyle name="20% - Ênfase6 2" xfId="41" xr:uid="{37913CFE-602F-47ED-BDEF-45D36AD2B2B3}"/>
    <cellStyle name="40% - Ênfase1 2" xfId="42" xr:uid="{5B2174F4-DDD3-4547-B415-B5820B509A58}"/>
    <cellStyle name="40% - Ênfase2 2" xfId="43" xr:uid="{F6E94FAE-7A7F-4043-804C-E8C379AE9E95}"/>
    <cellStyle name="40% - Ênfase3 2" xfId="44" xr:uid="{920C7B74-9D87-4E7D-AA28-9425558FA3A1}"/>
    <cellStyle name="40% - Ênfase4 2" xfId="45" xr:uid="{11C90C81-E931-4486-B1EA-A59C4CE1A8FE}"/>
    <cellStyle name="40% - Ênfase5 2" xfId="46" xr:uid="{3F548582-5863-4F92-A252-A21735839845}"/>
    <cellStyle name="40% - Ênfase6 2" xfId="47" xr:uid="{7D7CDC58-6005-432B-AEDB-5E285B599832}"/>
    <cellStyle name="60% - Ênfase1 2" xfId="48" xr:uid="{EF665DB9-493F-450C-B658-25FE5259DCDA}"/>
    <cellStyle name="60% - Ênfase2 2" xfId="49" xr:uid="{9C0D0184-13C3-47AC-A0B2-CB5B423790F1}"/>
    <cellStyle name="60% - Ênfase3 2" xfId="50" xr:uid="{C227877E-C0DD-4FAF-8BBF-77B8D74DD069}"/>
    <cellStyle name="60% - Ênfase4 2" xfId="51" xr:uid="{80DBFCAB-1CAF-43F3-80C3-31C3F7265193}"/>
    <cellStyle name="60% - Ênfase5 2" xfId="52" xr:uid="{EA31871D-83EA-42DF-8C7E-A6BF4486FEE6}"/>
    <cellStyle name="60% - Ênfase6 2" xfId="53" xr:uid="{894FBE8A-222D-4F17-9E69-706B7DE442A4}"/>
    <cellStyle name="Bom 2" xfId="54" xr:uid="{26BC1960-63DB-4230-90FE-CD307473BFEE}"/>
    <cellStyle name="Cálculo 2" xfId="55" xr:uid="{2DC62EC4-AAFB-407D-83F9-28B2C8827920}"/>
    <cellStyle name="Cancel" xfId="56" xr:uid="{85135907-CB50-48EE-8582-FA7ADEA628DA}"/>
    <cellStyle name="Cancel 2" xfId="7" xr:uid="{75D0C8F6-7B9D-4F7B-8C6B-2C06B388AF14}"/>
    <cellStyle name="Cancel 4" xfId="8" xr:uid="{289C2804-B593-4536-9BE0-006106BF572A}"/>
    <cellStyle name="Célula de Verificação 2" xfId="57" xr:uid="{56041AFE-1683-4B4B-AD18-C2F78B910461}"/>
    <cellStyle name="Célula Vinculada 2" xfId="58" xr:uid="{E8BC173A-FCAA-4933-84F9-93F450E89D86}"/>
    <cellStyle name="Ênfase1 2" xfId="59" xr:uid="{FBB5A602-6875-4ABA-8A01-1A48BE0883A4}"/>
    <cellStyle name="Ênfase2 2" xfId="60" xr:uid="{E43EBEA2-11C7-4A59-A1FC-B62A11FDF59B}"/>
    <cellStyle name="Ênfase3 2" xfId="61" xr:uid="{21405E29-0063-4180-8B14-270C49671EBE}"/>
    <cellStyle name="Ênfase4 2" xfId="62" xr:uid="{7441C990-A6B4-405D-9453-B0CB15E63F6A}"/>
    <cellStyle name="Ênfase5 2" xfId="63" xr:uid="{4DAE70FC-68C7-456E-890F-D59EA6AA1E77}"/>
    <cellStyle name="Ênfase6 2" xfId="64" xr:uid="{5EE7D580-4770-44F1-97E1-9F9D62C4A0BA}"/>
    <cellStyle name="Entrada 2" xfId="65" xr:uid="{87788262-DF7A-426F-BBF0-28FCCD94DF31}"/>
    <cellStyle name="Euro" xfId="15" xr:uid="{6A66612D-2A7D-45B9-82D6-AD9D005B8F01}"/>
    <cellStyle name="Excel Built-in Normal" xfId="16" xr:uid="{F0DB2E65-EF1C-4377-A9CA-2A8962EC5C52}"/>
    <cellStyle name="Excel Built-in Normal 2" xfId="17" xr:uid="{03AB9530-3455-4D90-A65E-1A78ABA21510}"/>
    <cellStyle name="Moeda 2" xfId="19" xr:uid="{47781FA6-0764-4229-8160-6CA502848390}"/>
    <cellStyle name="Moeda 3" xfId="20" xr:uid="{A7B323D7-C728-4966-AA99-CA5F40FCAB88}"/>
    <cellStyle name="Moeda 4" xfId="21" xr:uid="{99ADEA3E-DC33-42FF-9A33-45F3DD971737}"/>
    <cellStyle name="Moeda 5" xfId="18" xr:uid="{56A224C7-D353-4437-892A-D96B70755CE1}"/>
    <cellStyle name="Neutro 2" xfId="67" xr:uid="{6D6154B7-5290-4AE1-830A-F931DE33FC51}"/>
    <cellStyle name="Normal" xfId="0" builtinId="0"/>
    <cellStyle name="Normal 2" xfId="2" xr:uid="{00000000-0005-0000-0000-00002F000000}"/>
    <cellStyle name="Normal 2 2" xfId="22" xr:uid="{C53C9352-7CB8-4933-99F2-3EB9DAEF4C3B}"/>
    <cellStyle name="Normal 2 2 2" xfId="5" xr:uid="{8172D2D2-9F1B-4C2A-B58E-A3CCC6F551D3}"/>
    <cellStyle name="Normal 2 2 3" xfId="23" xr:uid="{6FBA38B9-61B7-483A-B015-0B165C2EC0DE}"/>
    <cellStyle name="Normal 2 3" xfId="24" xr:uid="{C4429531-0783-4F8E-88A5-AC608A783194}"/>
    <cellStyle name="Normal 2 36" xfId="25" xr:uid="{1B5D1050-F285-4B75-93C8-0EB9BF5EA291}"/>
    <cellStyle name="Normal 3" xfId="3" xr:uid="{00000000-0005-0000-0000-000030000000}"/>
    <cellStyle name="Normal 4" xfId="26" xr:uid="{7D011924-6CD6-42B8-9FDA-93AE2020AEB0}"/>
    <cellStyle name="Normal 4 3" xfId="27" xr:uid="{6BDA1219-B34C-4232-9AC8-5512BCF3E0B0}"/>
    <cellStyle name="Normal 5" xfId="14" xr:uid="{E5684904-AA03-4F9A-94E2-49478B6E8604}"/>
    <cellStyle name="Normal 6" xfId="12" xr:uid="{76DACAEF-F72C-4149-8CED-25144C32F4F1}"/>
    <cellStyle name="Normal 9" xfId="28" xr:uid="{07786C50-AE5E-4EEF-931B-48E2A6BE4A4F}"/>
    <cellStyle name="Normal_Fatura TCU contrato nº 32-2005" xfId="4" xr:uid="{EB56518C-A8D1-4666-9A5F-955C35A514F4}"/>
    <cellStyle name="Normal_Pesquisa no referencial 10 de maio de 2013" xfId="13" xr:uid="{46791AA5-B82F-422B-8EFF-87A8DCDA906E}"/>
    <cellStyle name="Nota 2" xfId="68" xr:uid="{23CE9340-B5A8-442C-B5F0-42832C2F1DE8}"/>
    <cellStyle name="Porcentagem" xfId="6" builtinId="5"/>
    <cellStyle name="Porcentagem 2" xfId="29" xr:uid="{09BC9C28-7B6A-497F-8B9A-03D147DFF5B1}"/>
    <cellStyle name="Porcentagem 3" xfId="69" xr:uid="{AB1520B7-BE0E-4D2C-9B4F-38450A56C33E}"/>
    <cellStyle name="Ruim 2" xfId="66" xr:uid="{48714F9E-C243-4B3D-BF7D-F43ABC2DDE61}"/>
    <cellStyle name="Saída 2" xfId="70" xr:uid="{8D11CFC7-2557-4BB8-893D-EDBDE612BD5D}"/>
    <cellStyle name="Separador de milhares 2" xfId="9" xr:uid="{820E3C81-D268-48B9-ABC1-49E3408B9EAB}"/>
    <cellStyle name="Separador de milhares 2 2" xfId="11" xr:uid="{A07CBC0F-46C0-4961-81C9-6676CC852F8D}"/>
    <cellStyle name="Separador de milhares 2 3" xfId="30" xr:uid="{5CC2F0F8-77CA-4C62-8E59-8907649684BD}"/>
    <cellStyle name="Separador de milhares 3" xfId="10" xr:uid="{4839DD26-32B6-4C4F-B330-EB6DA4DCAB61}"/>
    <cellStyle name="Separador de milhares 3 2" xfId="31" xr:uid="{420B358D-0BFF-4148-A2CB-7DA1637592E3}"/>
    <cellStyle name="Separador de milhares 4" xfId="32" xr:uid="{A7DB9E0E-8B43-43E0-836D-BBEF380B7BEF}"/>
    <cellStyle name="Texto de Aviso 2" xfId="72" xr:uid="{46AA087A-4D89-403E-BD80-43FBF176F6D1}"/>
    <cellStyle name="Texto Explicativo 2" xfId="73" xr:uid="{CB556A3B-4D84-4A01-95C8-6A93E71EFBE9}"/>
    <cellStyle name="Título 1 1" xfId="75" xr:uid="{D8D2240A-9C40-4B77-A982-0C87052CA25C}"/>
    <cellStyle name="Título 1 1 1" xfId="76" xr:uid="{CBF654CF-0E40-47C5-9047-0ED6AAA64348}"/>
    <cellStyle name="Título 1 1 1 1" xfId="77" xr:uid="{771CD761-9A86-4262-B1DC-C93F35494071}"/>
    <cellStyle name="Título 1 1 1 1 1" xfId="78" xr:uid="{DD5831E8-06FE-46D5-8FA2-9EC3F68CBB24}"/>
    <cellStyle name="Título 1 1 1 1 1 1" xfId="79" xr:uid="{F23CAB1F-A67F-4F7F-BE23-08214F5DDA69}"/>
    <cellStyle name="Título 1 2" xfId="74" xr:uid="{8842E24F-B7E5-4BF2-A8ED-C3E8058C4CCF}"/>
    <cellStyle name="Título 2 2" xfId="80" xr:uid="{961F0675-70A7-4A2A-AF93-926FE6EE2A74}"/>
    <cellStyle name="Título 3 2" xfId="81" xr:uid="{1DAA6435-03CF-4C62-893F-F6352987EA94}"/>
    <cellStyle name="Título 4 2" xfId="82" xr:uid="{CE1B3A49-F583-45E9-957B-331D5A6FFDB9}"/>
    <cellStyle name="Total 2" xfId="83" xr:uid="{8AC530AF-1A7D-43E5-9251-5CB85817BC50}"/>
    <cellStyle name="Vírgula" xfId="1" builtinId="3"/>
    <cellStyle name="Vírgula 2" xfId="33" xr:uid="{452255C6-38B1-4FD8-8440-90B1C656B617}"/>
    <cellStyle name="Vírgula 2 2" xfId="34" xr:uid="{B7780F8D-04D8-4A74-A573-233D8F085D30}"/>
    <cellStyle name="Vírgula 3" xfId="35" xr:uid="{86BA00B6-6DFE-4027-A79D-9DCD914DDD33}"/>
    <cellStyle name="Vírgula 4" xfId="71" xr:uid="{752A237A-BAD8-493D-A232-6CC8A1AEAA84}"/>
  </cellStyles>
  <dxfs count="268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jpg@01D13107.E1251150" TargetMode="External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3</xdr:row>
      <xdr:rowOff>38100</xdr:rowOff>
    </xdr:from>
    <xdr:to>
      <xdr:col>7</xdr:col>
      <xdr:colOff>587375</xdr:colOff>
      <xdr:row>7</xdr:row>
      <xdr:rowOff>173355</xdr:rowOff>
    </xdr:to>
    <xdr:pic>
      <xdr:nvPicPr>
        <xdr:cNvPr id="2" name="Imagem 1" descr="cid:image001.jpg@01D13107.E1251150">
          <a:extLst>
            <a:ext uri="{FF2B5EF4-FFF2-40B4-BE49-F238E27FC236}">
              <a16:creationId xmlns:a16="http://schemas.microsoft.com/office/drawing/2014/main" id="{F486F6FC-4CDC-4DC7-BD8D-3D67988271D2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847725"/>
          <a:ext cx="3416300" cy="8972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285750</xdr:colOff>
      <xdr:row>10</xdr:row>
      <xdr:rowOff>66675</xdr:rowOff>
    </xdr:from>
    <xdr:to>
      <xdr:col>8</xdr:col>
      <xdr:colOff>603250</xdr:colOff>
      <xdr:row>17</xdr:row>
      <xdr:rowOff>149225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E705C11-529B-47DF-BB74-2812855961AE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30830" t="42011" r="33268" b="37208"/>
        <a:stretch/>
      </xdr:blipFill>
      <xdr:spPr bwMode="auto">
        <a:xfrm>
          <a:off x="895350" y="2209800"/>
          <a:ext cx="4584700" cy="1492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28574</xdr:colOff>
      <xdr:row>25</xdr:row>
      <xdr:rowOff>38099</xdr:rowOff>
    </xdr:from>
    <xdr:to>
      <xdr:col>9</xdr:col>
      <xdr:colOff>571499</xdr:colOff>
      <xdr:row>42</xdr:row>
      <xdr:rowOff>66674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9A5F74A-2FF4-4876-8665-847A2BADCA8B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l="30831" t="19321" r="24760" b="32238"/>
        <a:stretch/>
      </xdr:blipFill>
      <xdr:spPr bwMode="auto">
        <a:xfrm>
          <a:off x="638174" y="5114924"/>
          <a:ext cx="5419725" cy="3343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57150</xdr:colOff>
      <xdr:row>43</xdr:row>
      <xdr:rowOff>28574</xdr:rowOff>
    </xdr:from>
    <xdr:to>
      <xdr:col>9</xdr:col>
      <xdr:colOff>485775</xdr:colOff>
      <xdr:row>52</xdr:row>
      <xdr:rowOff>19049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C5004DA-AE8E-446E-AA3F-0BC82E4AF307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l="30831" t="67400" r="24760" b="11581"/>
        <a:stretch/>
      </xdr:blipFill>
      <xdr:spPr bwMode="auto">
        <a:xfrm>
          <a:off x="666750" y="8534399"/>
          <a:ext cx="5305425" cy="17049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847CE-3996-46F8-B85A-C31066CF5F10}">
  <dimension ref="A1:O133"/>
  <sheetViews>
    <sheetView tabSelected="1" topLeftCell="A105" workbookViewId="0">
      <selection activeCell="B130" sqref="B130:E130"/>
    </sheetView>
  </sheetViews>
  <sheetFormatPr defaultRowHeight="15.75"/>
  <cols>
    <col min="1" max="1" width="5.140625" style="77" customWidth="1"/>
    <col min="2" max="2" width="18" style="320" customWidth="1"/>
    <col min="3" max="3" width="22" style="77" customWidth="1"/>
    <col min="4" max="4" width="24.7109375" style="77" customWidth="1"/>
    <col min="5" max="5" width="11.28515625" style="77" customWidth="1"/>
    <col min="6" max="10" width="17" style="77" customWidth="1"/>
    <col min="11" max="11" width="17.5703125" style="77" customWidth="1"/>
    <col min="12" max="12" width="2.28515625" style="77" customWidth="1"/>
    <col min="13" max="13" width="12.5703125" style="77" customWidth="1"/>
    <col min="14" max="16384" width="9.140625" style="77"/>
  </cols>
  <sheetData>
    <row r="1" spans="1:12" ht="22.5">
      <c r="A1" s="555" t="s">
        <v>1365</v>
      </c>
      <c r="B1" s="556"/>
      <c r="C1" s="556"/>
      <c r="D1" s="556"/>
      <c r="E1" s="556"/>
      <c r="F1" s="556"/>
      <c r="G1" s="556"/>
      <c r="H1" s="556"/>
      <c r="I1" s="556"/>
      <c r="J1" s="556"/>
      <c r="K1" s="557"/>
    </row>
    <row r="2" spans="1:12" ht="22.5">
      <c r="A2" s="552" t="s">
        <v>1366</v>
      </c>
      <c r="B2" s="553"/>
      <c r="C2" s="553"/>
      <c r="D2" s="553"/>
      <c r="E2" s="553"/>
      <c r="F2" s="553"/>
      <c r="G2" s="553"/>
      <c r="H2" s="553"/>
      <c r="I2" s="553"/>
      <c r="J2" s="553"/>
      <c r="K2" s="554"/>
    </row>
    <row r="3" spans="1:12" ht="11.25" customHeight="1" thickBot="1">
      <c r="A3" s="317"/>
      <c r="B3" s="317"/>
      <c r="C3" s="317"/>
      <c r="D3" s="317"/>
      <c r="E3" s="317"/>
      <c r="F3" s="317"/>
      <c r="G3" s="317"/>
      <c r="H3" s="317"/>
      <c r="I3" s="317"/>
      <c r="J3" s="317"/>
      <c r="K3" s="317"/>
    </row>
    <row r="4" spans="1:12" ht="18.75" customHeight="1">
      <c r="A4" s="560" t="s">
        <v>1367</v>
      </c>
      <c r="B4" s="561"/>
      <c r="C4" s="561"/>
      <c r="D4" s="561"/>
      <c r="E4" s="561"/>
      <c r="F4" s="561"/>
      <c r="G4" s="561"/>
      <c r="H4" s="561"/>
      <c r="I4" s="561"/>
      <c r="J4" s="561"/>
      <c r="K4" s="562"/>
      <c r="L4" s="318"/>
    </row>
    <row r="5" spans="1:12" ht="17.25" customHeight="1" thickBot="1">
      <c r="A5" s="563" t="s">
        <v>1368</v>
      </c>
      <c r="B5" s="564"/>
      <c r="C5" s="564"/>
      <c r="D5" s="564"/>
      <c r="E5" s="564"/>
      <c r="F5" s="564"/>
      <c r="G5" s="564"/>
      <c r="H5" s="564"/>
      <c r="I5" s="564"/>
      <c r="J5" s="564"/>
      <c r="K5" s="565"/>
      <c r="L5" s="319"/>
    </row>
    <row r="6" spans="1:12" ht="10.5" customHeight="1">
      <c r="A6" s="621"/>
      <c r="B6" s="621"/>
      <c r="C6" s="621"/>
      <c r="D6" s="621"/>
      <c r="E6" s="621"/>
      <c r="F6" s="621"/>
      <c r="G6" s="621"/>
      <c r="H6" s="621"/>
      <c r="I6" s="621"/>
      <c r="J6" s="621"/>
      <c r="K6" s="621"/>
      <c r="L6" s="321"/>
    </row>
    <row r="7" spans="1:12" ht="12.75" customHeight="1">
      <c r="A7" s="629" t="s">
        <v>1369</v>
      </c>
      <c r="B7" s="630"/>
      <c r="C7" s="630"/>
      <c r="D7" s="630"/>
      <c r="E7" s="630"/>
      <c r="F7" s="630"/>
      <c r="G7" s="630"/>
      <c r="H7" s="630"/>
      <c r="I7" s="630"/>
      <c r="J7" s="630"/>
      <c r="K7" s="631"/>
      <c r="L7" s="321"/>
    </row>
    <row r="8" spans="1:12" ht="12.75" customHeight="1">
      <c r="A8" s="632" t="s">
        <v>1370</v>
      </c>
      <c r="B8" s="633"/>
      <c r="C8" s="633"/>
      <c r="D8" s="633"/>
      <c r="E8" s="633"/>
      <c r="F8" s="633"/>
      <c r="G8" s="633"/>
      <c r="H8" s="633"/>
      <c r="I8" s="633"/>
      <c r="J8" s="633"/>
      <c r="K8" s="634"/>
      <c r="L8" s="321"/>
    </row>
    <row r="9" spans="1:12" ht="12.75" customHeight="1">
      <c r="A9" s="635" t="s">
        <v>1540</v>
      </c>
      <c r="B9" s="636"/>
      <c r="C9" s="636"/>
      <c r="D9" s="636"/>
      <c r="E9" s="636"/>
      <c r="F9" s="636"/>
      <c r="G9" s="636"/>
      <c r="H9" s="636"/>
      <c r="I9" s="636"/>
      <c r="J9" s="636"/>
      <c r="K9" s="637"/>
      <c r="L9" s="321"/>
    </row>
    <row r="10" spans="1:12" ht="12.75" customHeight="1">
      <c r="A10" s="628"/>
      <c r="B10" s="628"/>
      <c r="C10" s="628"/>
      <c r="D10" s="628"/>
      <c r="E10" s="628"/>
      <c r="F10" s="628"/>
      <c r="G10" s="628"/>
      <c r="H10" s="628"/>
      <c r="I10" s="628"/>
      <c r="J10" s="628"/>
      <c r="K10" s="628"/>
      <c r="L10" s="321"/>
    </row>
    <row r="11" spans="1:12" ht="42.75" customHeight="1">
      <c r="A11" s="558" t="s">
        <v>1475</v>
      </c>
      <c r="B11" s="559"/>
      <c r="C11" s="559"/>
      <c r="D11" s="559"/>
      <c r="E11" s="559"/>
      <c r="F11" s="559"/>
      <c r="G11" s="559"/>
      <c r="H11" s="559"/>
      <c r="I11" s="559"/>
      <c r="J11" s="559"/>
      <c r="K11" s="559"/>
      <c r="L11" s="323"/>
    </row>
    <row r="12" spans="1:12" ht="15" customHeight="1">
      <c r="A12" s="468" t="s">
        <v>1371</v>
      </c>
      <c r="B12" s="573" t="s">
        <v>1372</v>
      </c>
      <c r="C12" s="574"/>
      <c r="D12" s="574"/>
      <c r="E12" s="624"/>
      <c r="F12" s="322"/>
      <c r="G12" s="322"/>
      <c r="H12" s="322"/>
      <c r="I12" s="322"/>
      <c r="J12" s="322"/>
      <c r="K12" s="250"/>
      <c r="L12" s="321"/>
    </row>
    <row r="13" spans="1:12" ht="15" customHeight="1">
      <c r="A13" s="468" t="s">
        <v>1373</v>
      </c>
      <c r="B13" s="573" t="s">
        <v>1374</v>
      </c>
      <c r="C13" s="574"/>
      <c r="D13" s="574"/>
      <c r="E13" s="624"/>
      <c r="F13" s="250" t="s">
        <v>1375</v>
      </c>
      <c r="G13" s="250" t="s">
        <v>1375</v>
      </c>
      <c r="H13" s="250" t="s">
        <v>1375</v>
      </c>
      <c r="I13" s="250" t="s">
        <v>1375</v>
      </c>
      <c r="J13" s="250" t="s">
        <v>1375</v>
      </c>
      <c r="K13" s="250" t="s">
        <v>1375</v>
      </c>
      <c r="L13" s="321"/>
    </row>
    <row r="14" spans="1:12" ht="15" customHeight="1">
      <c r="A14" s="468" t="s">
        <v>1376</v>
      </c>
      <c r="B14" s="573" t="s">
        <v>1377</v>
      </c>
      <c r="C14" s="574"/>
      <c r="D14" s="574"/>
      <c r="E14" s="624"/>
      <c r="F14" s="473">
        <v>2023</v>
      </c>
      <c r="G14" s="473">
        <v>2023</v>
      </c>
      <c r="H14" s="473">
        <v>2023</v>
      </c>
      <c r="I14" s="470">
        <v>2023</v>
      </c>
      <c r="J14" s="470">
        <v>2023</v>
      </c>
      <c r="K14" s="470">
        <v>2023</v>
      </c>
      <c r="L14" s="321"/>
    </row>
    <row r="15" spans="1:12" ht="31.5">
      <c r="A15" s="468" t="s">
        <v>1378</v>
      </c>
      <c r="B15" s="625" t="s">
        <v>1379</v>
      </c>
      <c r="C15" s="626"/>
      <c r="D15" s="626"/>
      <c r="E15" s="627"/>
      <c r="F15" s="469" t="s">
        <v>1477</v>
      </c>
      <c r="G15" s="469"/>
      <c r="H15" s="469"/>
      <c r="I15" s="469" t="s">
        <v>1476</v>
      </c>
      <c r="J15" s="469" t="s">
        <v>1476</v>
      </c>
      <c r="K15" s="469" t="s">
        <v>1476</v>
      </c>
      <c r="L15" s="321"/>
    </row>
    <row r="16" spans="1:12" ht="8.25" customHeight="1">
      <c r="A16" s="623"/>
      <c r="B16" s="623"/>
      <c r="C16" s="623"/>
      <c r="D16" s="623"/>
      <c r="E16" s="623"/>
      <c r="F16" s="623"/>
      <c r="G16" s="623"/>
      <c r="H16" s="623"/>
      <c r="I16" s="623"/>
      <c r="J16" s="623"/>
      <c r="K16" s="623"/>
      <c r="L16" s="321"/>
    </row>
    <row r="17" spans="1:15" ht="15" customHeight="1">
      <c r="A17" s="569" t="s">
        <v>1381</v>
      </c>
      <c r="B17" s="569"/>
      <c r="C17" s="569"/>
      <c r="D17" s="569"/>
      <c r="E17" s="569"/>
      <c r="F17" s="569"/>
      <c r="G17" s="569"/>
      <c r="H17" s="569"/>
      <c r="I17" s="569"/>
      <c r="J17" s="569"/>
      <c r="K17" s="569"/>
      <c r="L17" s="321"/>
    </row>
    <row r="18" spans="1:15" ht="15" customHeight="1">
      <c r="A18" s="324">
        <v>1</v>
      </c>
      <c r="B18" s="573" t="s">
        <v>1382</v>
      </c>
      <c r="C18" s="574"/>
      <c r="D18" s="574"/>
      <c r="E18" s="574"/>
      <c r="F18" s="575" t="s">
        <v>1383</v>
      </c>
      <c r="G18" s="575"/>
      <c r="H18" s="575"/>
      <c r="I18" s="575"/>
      <c r="J18" s="575"/>
      <c r="K18" s="575"/>
      <c r="L18" s="321"/>
    </row>
    <row r="19" spans="1:15" ht="15" customHeight="1">
      <c r="A19" s="324">
        <v>2</v>
      </c>
      <c r="B19" s="573" t="s">
        <v>1384</v>
      </c>
      <c r="C19" s="574"/>
      <c r="D19" s="574"/>
      <c r="E19" s="574"/>
      <c r="F19" s="325"/>
      <c r="G19" s="325"/>
      <c r="H19" s="325"/>
      <c r="I19" s="325"/>
      <c r="J19" s="325"/>
      <c r="K19" s="250"/>
      <c r="L19" s="321"/>
    </row>
    <row r="20" spans="1:15" ht="15" customHeight="1">
      <c r="A20" s="324">
        <v>3</v>
      </c>
      <c r="B20" s="573" t="s">
        <v>1385</v>
      </c>
      <c r="C20" s="574"/>
      <c r="D20" s="574"/>
      <c r="E20" s="574"/>
      <c r="F20" s="472"/>
      <c r="G20" s="472"/>
      <c r="H20" s="472"/>
      <c r="I20" s="472">
        <v>2200</v>
      </c>
      <c r="J20" s="472">
        <v>2200</v>
      </c>
      <c r="K20" s="16">
        <v>1438.8</v>
      </c>
      <c r="L20" s="321"/>
    </row>
    <row r="21" spans="1:15" ht="15" customHeight="1">
      <c r="A21" s="324">
        <v>4</v>
      </c>
      <c r="B21" s="573" t="s">
        <v>1386</v>
      </c>
      <c r="C21" s="574"/>
      <c r="D21" s="574"/>
      <c r="E21" s="574"/>
      <c r="F21" s="325"/>
      <c r="G21" s="325"/>
      <c r="H21" s="325"/>
      <c r="I21" s="325"/>
      <c r="J21" s="325"/>
      <c r="K21" s="250"/>
      <c r="L21" s="321"/>
    </row>
    <row r="22" spans="1:15" ht="15" customHeight="1">
      <c r="A22" s="324">
        <v>5</v>
      </c>
      <c r="B22" s="573" t="s">
        <v>1387</v>
      </c>
      <c r="C22" s="574"/>
      <c r="D22" s="574"/>
      <c r="E22" s="574"/>
      <c r="F22" s="517">
        <v>44805</v>
      </c>
      <c r="G22" s="326"/>
      <c r="H22" s="326"/>
      <c r="I22" s="471">
        <v>45047</v>
      </c>
      <c r="J22" s="471">
        <v>45047</v>
      </c>
      <c r="K22" s="471">
        <v>45047</v>
      </c>
    </row>
    <row r="23" spans="1:15" ht="9.75" customHeight="1">
      <c r="A23" s="623"/>
      <c r="B23" s="623"/>
      <c r="C23" s="623"/>
      <c r="D23" s="623"/>
      <c r="E23" s="623"/>
      <c r="F23" s="623"/>
      <c r="G23" s="623"/>
      <c r="H23" s="623"/>
      <c r="I23" s="623"/>
      <c r="J23" s="623"/>
      <c r="K23" s="623"/>
      <c r="L23" s="321"/>
    </row>
    <row r="24" spans="1:15" ht="27.75" customHeight="1">
      <c r="A24" s="622"/>
      <c r="B24" s="622"/>
      <c r="C24" s="622"/>
      <c r="D24" s="622"/>
      <c r="E24" s="622"/>
      <c r="F24" s="327" t="s">
        <v>1388</v>
      </c>
      <c r="G24" s="327" t="s">
        <v>1389</v>
      </c>
      <c r="H24" s="327" t="s">
        <v>1390</v>
      </c>
      <c r="I24" s="327" t="s">
        <v>1391</v>
      </c>
      <c r="J24" s="327" t="s">
        <v>1392</v>
      </c>
      <c r="K24" s="327" t="s">
        <v>1393</v>
      </c>
      <c r="L24" s="328"/>
    </row>
    <row r="25" spans="1:15" ht="16.5" thickBot="1">
      <c r="A25" s="504">
        <v>1</v>
      </c>
      <c r="B25" s="566" t="s">
        <v>1394</v>
      </c>
      <c r="C25" s="567"/>
      <c r="D25" s="568"/>
      <c r="E25" s="505" t="s">
        <v>1395</v>
      </c>
      <c r="F25" s="329" t="s">
        <v>1396</v>
      </c>
      <c r="G25" s="329" t="s">
        <v>1396</v>
      </c>
      <c r="H25" s="329" t="s">
        <v>1396</v>
      </c>
      <c r="I25" s="329" t="s">
        <v>1396</v>
      </c>
      <c r="J25" s="329" t="s">
        <v>1396</v>
      </c>
      <c r="K25" s="329" t="s">
        <v>1396</v>
      </c>
      <c r="L25" s="330"/>
    </row>
    <row r="26" spans="1:15">
      <c r="A26" s="331" t="s">
        <v>1371</v>
      </c>
      <c r="B26" s="533" t="s">
        <v>1397</v>
      </c>
      <c r="C26" s="534"/>
      <c r="D26" s="535"/>
      <c r="E26" s="332"/>
      <c r="F26" s="516">
        <v>10302</v>
      </c>
      <c r="G26" s="300">
        <v>3515.48</v>
      </c>
      <c r="H26" s="300">
        <v>2835.55</v>
      </c>
      <c r="I26" s="300">
        <v>2200</v>
      </c>
      <c r="J26" s="300">
        <v>2200</v>
      </c>
      <c r="K26" s="300">
        <v>1438.8</v>
      </c>
      <c r="L26" s="301"/>
    </row>
    <row r="27" spans="1:15">
      <c r="A27" s="333" t="s">
        <v>1373</v>
      </c>
      <c r="B27" s="536" t="s">
        <v>1398</v>
      </c>
      <c r="C27" s="537"/>
      <c r="D27" s="538"/>
      <c r="E27" s="334">
        <v>0.3</v>
      </c>
      <c r="F27" s="302"/>
      <c r="G27" s="302"/>
      <c r="H27" s="302"/>
      <c r="I27" s="302">
        <f>I26*E27</f>
        <v>660</v>
      </c>
      <c r="J27" s="302"/>
      <c r="K27" s="302"/>
      <c r="L27" s="301"/>
    </row>
    <row r="28" spans="1:15">
      <c r="A28" s="335" t="s">
        <v>1376</v>
      </c>
      <c r="B28" s="536" t="s">
        <v>1399</v>
      </c>
      <c r="C28" s="537"/>
      <c r="D28" s="538"/>
      <c r="E28" s="334"/>
      <c r="F28" s="302"/>
      <c r="G28" s="302"/>
      <c r="H28" s="302"/>
      <c r="I28" s="302"/>
      <c r="J28" s="302"/>
      <c r="K28" s="302"/>
      <c r="L28" s="301"/>
    </row>
    <row r="29" spans="1:15">
      <c r="A29" s="333" t="s">
        <v>1378</v>
      </c>
      <c r="B29" s="536" t="s">
        <v>1400</v>
      </c>
      <c r="C29" s="537"/>
      <c r="D29" s="538"/>
      <c r="E29" s="334"/>
      <c r="F29" s="302"/>
      <c r="G29" s="302"/>
      <c r="H29" s="302"/>
      <c r="I29" s="302"/>
      <c r="J29" s="302"/>
      <c r="K29" s="302"/>
      <c r="L29" s="301"/>
    </row>
    <row r="30" spans="1:15">
      <c r="A30" s="335" t="s">
        <v>1380</v>
      </c>
      <c r="B30" s="536" t="s">
        <v>1401</v>
      </c>
      <c r="C30" s="537"/>
      <c r="D30" s="538"/>
      <c r="E30" s="334"/>
      <c r="F30" s="302"/>
      <c r="G30" s="302"/>
      <c r="H30" s="302"/>
      <c r="I30" s="302"/>
      <c r="J30" s="302"/>
      <c r="K30" s="302"/>
      <c r="L30" s="301"/>
      <c r="O30" s="474"/>
    </row>
    <row r="31" spans="1:15">
      <c r="A31" s="333" t="s">
        <v>1402</v>
      </c>
      <c r="B31" s="536" t="s">
        <v>1403</v>
      </c>
      <c r="C31" s="537"/>
      <c r="D31" s="538"/>
      <c r="E31" s="334"/>
      <c r="F31" s="302"/>
      <c r="G31" s="302"/>
      <c r="H31" s="302"/>
      <c r="I31" s="302"/>
      <c r="J31" s="302"/>
      <c r="K31" s="302"/>
      <c r="L31" s="301"/>
      <c r="O31" s="474"/>
    </row>
    <row r="32" spans="1:15" ht="16.5" thickBot="1">
      <c r="A32" s="336"/>
      <c r="B32" s="546" t="s">
        <v>1404</v>
      </c>
      <c r="C32" s="547"/>
      <c r="D32" s="589"/>
      <c r="E32" s="337"/>
      <c r="F32" s="303">
        <f>SUM(F26:F31)</f>
        <v>10302</v>
      </c>
      <c r="G32" s="303">
        <f t="shared" ref="G32:K32" si="0">SUM(G26:G31)</f>
        <v>3515.48</v>
      </c>
      <c r="H32" s="303">
        <f t="shared" si="0"/>
        <v>2835.55</v>
      </c>
      <c r="I32" s="303">
        <f t="shared" si="0"/>
        <v>2860</v>
      </c>
      <c r="J32" s="303">
        <f>SUM(J26:J31)</f>
        <v>2200</v>
      </c>
      <c r="K32" s="303">
        <f t="shared" si="0"/>
        <v>1438.8</v>
      </c>
      <c r="L32" s="304"/>
      <c r="O32" s="474"/>
    </row>
    <row r="33" spans="1:15" ht="11.25" customHeight="1" thickBot="1">
      <c r="A33" s="338"/>
      <c r="C33" s="320"/>
      <c r="D33" s="320"/>
      <c r="F33" s="339"/>
      <c r="G33" s="339"/>
      <c r="H33" s="339"/>
      <c r="I33" s="339"/>
      <c r="J33" s="339"/>
      <c r="K33" s="339"/>
      <c r="L33" s="339"/>
      <c r="O33" s="474"/>
    </row>
    <row r="34" spans="1:15" ht="16.5" thickBot="1">
      <c r="A34" s="340">
        <v>2</v>
      </c>
      <c r="B34" s="587" t="s">
        <v>1405</v>
      </c>
      <c r="C34" s="588"/>
      <c r="D34" s="588"/>
      <c r="E34" s="341"/>
      <c r="F34" s="342"/>
      <c r="G34" s="342"/>
      <c r="H34" s="342"/>
      <c r="I34" s="342"/>
      <c r="J34" s="342"/>
      <c r="K34" s="343"/>
      <c r="L34" s="339"/>
      <c r="O34" s="339"/>
    </row>
    <row r="35" spans="1:15" ht="6" customHeight="1" thickBot="1">
      <c r="A35" s="344"/>
      <c r="B35" s="345"/>
      <c r="C35" s="345"/>
      <c r="D35" s="345"/>
      <c r="F35" s="339"/>
      <c r="G35" s="339"/>
      <c r="H35" s="339"/>
      <c r="I35" s="339"/>
      <c r="J35" s="339"/>
      <c r="K35" s="339"/>
      <c r="L35" s="339"/>
    </row>
    <row r="36" spans="1:15" ht="16.5" thickBot="1">
      <c r="A36" s="346" t="s">
        <v>139</v>
      </c>
      <c r="B36" s="570" t="s">
        <v>1406</v>
      </c>
      <c r="C36" s="571"/>
      <c r="D36" s="572"/>
      <c r="E36" s="347" t="s">
        <v>1407</v>
      </c>
      <c r="F36" s="348" t="s">
        <v>1396</v>
      </c>
      <c r="G36" s="348" t="s">
        <v>1396</v>
      </c>
      <c r="H36" s="348" t="s">
        <v>1396</v>
      </c>
      <c r="I36" s="348" t="s">
        <v>1396</v>
      </c>
      <c r="J36" s="348" t="s">
        <v>1396</v>
      </c>
      <c r="K36" s="348" t="s">
        <v>1396</v>
      </c>
      <c r="L36" s="339"/>
    </row>
    <row r="37" spans="1:15">
      <c r="A37" s="331" t="s">
        <v>1371</v>
      </c>
      <c r="B37" s="533" t="s">
        <v>1408</v>
      </c>
      <c r="C37" s="534"/>
      <c r="D37" s="586"/>
      <c r="E37" s="305">
        <f>1/12</f>
        <v>8.3333333333333329E-2</v>
      </c>
      <c r="F37" s="349">
        <f>F32*$E$37</f>
        <v>858.5</v>
      </c>
      <c r="G37" s="349">
        <f t="shared" ref="G37:K37" si="1">G32*$E$37</f>
        <v>292.95666666666665</v>
      </c>
      <c r="H37" s="349">
        <f t="shared" si="1"/>
        <v>236.29583333333335</v>
      </c>
      <c r="I37" s="349">
        <f>I32*$E$37</f>
        <v>238.33333333333331</v>
      </c>
      <c r="J37" s="349">
        <f>J32*$E$37</f>
        <v>183.33333333333331</v>
      </c>
      <c r="K37" s="349">
        <f t="shared" si="1"/>
        <v>119.89999999999999</v>
      </c>
      <c r="L37" s="339"/>
    </row>
    <row r="38" spans="1:15">
      <c r="A38" s="335" t="s">
        <v>1373</v>
      </c>
      <c r="B38" s="536" t="s">
        <v>1409</v>
      </c>
      <c r="C38" s="537"/>
      <c r="D38" s="585"/>
      <c r="E38" s="306">
        <f>(1/3)/12</f>
        <v>2.7777777777777776E-2</v>
      </c>
      <c r="F38" s="349">
        <f>F32*$E$38</f>
        <v>286.16666666666663</v>
      </c>
      <c r="G38" s="349">
        <f>G32*$E$38</f>
        <v>97.652222222222221</v>
      </c>
      <c r="H38" s="349">
        <f t="shared" ref="H38:J38" si="2">H32*$E$38</f>
        <v>78.765277777777783</v>
      </c>
      <c r="I38" s="349">
        <f t="shared" si="2"/>
        <v>79.444444444444443</v>
      </c>
      <c r="J38" s="349">
        <f t="shared" si="2"/>
        <v>61.111111111111107</v>
      </c>
      <c r="K38" s="349">
        <f>K32*$E$38</f>
        <v>39.966666666666661</v>
      </c>
      <c r="L38" s="339"/>
    </row>
    <row r="39" spans="1:15">
      <c r="A39" s="333" t="s">
        <v>1376</v>
      </c>
      <c r="B39" s="536" t="s">
        <v>1410</v>
      </c>
      <c r="C39" s="537"/>
      <c r="D39" s="585"/>
      <c r="E39" s="309">
        <f>E51</f>
        <v>0.39800000000000008</v>
      </c>
      <c r="F39" s="350">
        <f>(F37+F38)*$E$39</f>
        <v>455.57733333333334</v>
      </c>
      <c r="G39" s="350">
        <f>(G37+G38)*$E$39</f>
        <v>155.4623377777778</v>
      </c>
      <c r="H39" s="350">
        <f>(H37+H38)*$E$39</f>
        <v>125.39432222222226</v>
      </c>
      <c r="I39" s="350">
        <f>(I37+I38)*$E$39</f>
        <v>126.47555555555557</v>
      </c>
      <c r="J39" s="350">
        <f t="shared" ref="J39" si="3">(J37+J38)*$E$39</f>
        <v>97.288888888888906</v>
      </c>
      <c r="K39" s="350">
        <f>(K37+K38)*$E$39</f>
        <v>63.626933333333341</v>
      </c>
      <c r="L39" s="339"/>
    </row>
    <row r="40" spans="1:15" ht="16.5" thickBot="1">
      <c r="A40" s="336"/>
      <c r="B40" s="546" t="s">
        <v>1411</v>
      </c>
      <c r="C40" s="547"/>
      <c r="D40" s="548"/>
      <c r="E40" s="351"/>
      <c r="F40" s="352">
        <f>SUM(F37:F39)</f>
        <v>1600.2439999999999</v>
      </c>
      <c r="G40" s="352">
        <f t="shared" ref="G40:K40" si="4">SUM(G37:G39)</f>
        <v>546.07122666666669</v>
      </c>
      <c r="H40" s="352">
        <f t="shared" si="4"/>
        <v>440.45543333333342</v>
      </c>
      <c r="I40" s="352">
        <f t="shared" si="4"/>
        <v>444.25333333333333</v>
      </c>
      <c r="J40" s="352">
        <f t="shared" si="4"/>
        <v>341.73333333333335</v>
      </c>
      <c r="K40" s="352">
        <f t="shared" si="4"/>
        <v>223.49359999999999</v>
      </c>
      <c r="L40" s="353"/>
    </row>
    <row r="41" spans="1:15" ht="5.25" customHeight="1" thickBot="1">
      <c r="A41" s="344"/>
      <c r="B41" s="345"/>
      <c r="C41" s="345"/>
      <c r="D41" s="345"/>
      <c r="F41" s="339"/>
      <c r="G41" s="339"/>
      <c r="H41" s="339"/>
      <c r="I41" s="339"/>
      <c r="J41" s="339"/>
      <c r="K41" s="339"/>
      <c r="L41" s="339"/>
    </row>
    <row r="42" spans="1:15" ht="48" customHeight="1" thickBot="1">
      <c r="A42" s="346" t="s">
        <v>143</v>
      </c>
      <c r="B42" s="590" t="s">
        <v>1412</v>
      </c>
      <c r="C42" s="591"/>
      <c r="D42" s="592"/>
      <c r="E42" s="354" t="s">
        <v>1407</v>
      </c>
      <c r="F42" s="355" t="s">
        <v>1396</v>
      </c>
      <c r="G42" s="355" t="s">
        <v>1396</v>
      </c>
      <c r="H42" s="355" t="s">
        <v>1396</v>
      </c>
      <c r="I42" s="355" t="s">
        <v>1396</v>
      </c>
      <c r="J42" s="355" t="s">
        <v>1396</v>
      </c>
      <c r="K42" s="355" t="s">
        <v>1396</v>
      </c>
      <c r="L42" s="339"/>
    </row>
    <row r="43" spans="1:15">
      <c r="A43" s="331" t="s">
        <v>1371</v>
      </c>
      <c r="B43" s="533" t="s">
        <v>1413</v>
      </c>
      <c r="C43" s="534"/>
      <c r="D43" s="586"/>
      <c r="E43" s="356">
        <v>0.2</v>
      </c>
      <c r="F43" s="349">
        <f>(F32*$E$43)</f>
        <v>2060.4</v>
      </c>
      <c r="G43" s="349">
        <f>(G32*$E$43)</f>
        <v>703.096</v>
      </c>
      <c r="H43" s="349">
        <f t="shared" ref="H43:K43" si="5">(H32*$E$43)</f>
        <v>567.11</v>
      </c>
      <c r="I43" s="349">
        <f t="shared" si="5"/>
        <v>572</v>
      </c>
      <c r="J43" s="349">
        <f t="shared" si="5"/>
        <v>440</v>
      </c>
      <c r="K43" s="349">
        <f t="shared" si="5"/>
        <v>287.76</v>
      </c>
      <c r="L43" s="339"/>
    </row>
    <row r="44" spans="1:15">
      <c r="A44" s="335" t="s">
        <v>1373</v>
      </c>
      <c r="B44" s="536" t="s">
        <v>1414</v>
      </c>
      <c r="C44" s="537"/>
      <c r="D44" s="585"/>
      <c r="E44" s="357">
        <v>2.5000000000000001E-2</v>
      </c>
      <c r="F44" s="349">
        <f>(F32*$E$44)</f>
        <v>257.55</v>
      </c>
      <c r="G44" s="349">
        <f t="shared" ref="G44:K44" si="6">(G32*$E$44)</f>
        <v>87.887</v>
      </c>
      <c r="H44" s="349">
        <f t="shared" si="6"/>
        <v>70.888750000000002</v>
      </c>
      <c r="I44" s="349">
        <f t="shared" si="6"/>
        <v>71.5</v>
      </c>
      <c r="J44" s="349">
        <f>(J32*$E$44)</f>
        <v>55</v>
      </c>
      <c r="K44" s="349">
        <f t="shared" si="6"/>
        <v>35.97</v>
      </c>
      <c r="L44" s="339"/>
    </row>
    <row r="45" spans="1:15">
      <c r="A45" s="335" t="s">
        <v>1376</v>
      </c>
      <c r="B45" s="536" t="s">
        <v>1415</v>
      </c>
      <c r="C45" s="537"/>
      <c r="D45" s="585"/>
      <c r="E45" s="357">
        <v>0.06</v>
      </c>
      <c r="F45" s="349">
        <f>(F32*$E$45)</f>
        <v>618.12</v>
      </c>
      <c r="G45" s="349">
        <f t="shared" ref="G45:K45" si="7">(G32*$E$45)</f>
        <v>210.9288</v>
      </c>
      <c r="H45" s="349">
        <f t="shared" si="7"/>
        <v>170.13300000000001</v>
      </c>
      <c r="I45" s="349">
        <f t="shared" si="7"/>
        <v>171.6</v>
      </c>
      <c r="J45" s="349">
        <f t="shared" si="7"/>
        <v>132</v>
      </c>
      <c r="K45" s="349">
        <f t="shared" si="7"/>
        <v>86.327999999999989</v>
      </c>
      <c r="L45" s="339"/>
    </row>
    <row r="46" spans="1:15">
      <c r="A46" s="335" t="s">
        <v>1378</v>
      </c>
      <c r="B46" s="536" t="s">
        <v>1416</v>
      </c>
      <c r="C46" s="537"/>
      <c r="D46" s="585"/>
      <c r="E46" s="357">
        <v>1.4999999999999999E-2</v>
      </c>
      <c r="F46" s="349">
        <f>(F32*$E$46)</f>
        <v>154.53</v>
      </c>
      <c r="G46" s="349">
        <f t="shared" ref="G46:I46" si="8">(G32*$E$46)</f>
        <v>52.732199999999999</v>
      </c>
      <c r="H46" s="349">
        <f t="shared" si="8"/>
        <v>42.533250000000002</v>
      </c>
      <c r="I46" s="349">
        <f t="shared" si="8"/>
        <v>42.9</v>
      </c>
      <c r="J46" s="349">
        <f>(J32*$E$46)</f>
        <v>33</v>
      </c>
      <c r="K46" s="349">
        <f>(K32*$E$46)</f>
        <v>21.581999999999997</v>
      </c>
      <c r="L46" s="339"/>
    </row>
    <row r="47" spans="1:15">
      <c r="A47" s="335" t="s">
        <v>1380</v>
      </c>
      <c r="B47" s="536" t="s">
        <v>1417</v>
      </c>
      <c r="C47" s="537"/>
      <c r="D47" s="585"/>
      <c r="E47" s="357">
        <v>0.01</v>
      </c>
      <c r="F47" s="349">
        <f>(F32*$E$47)</f>
        <v>103.02</v>
      </c>
      <c r="G47" s="349">
        <f t="shared" ref="G47:K47" si="9">(G32*$E$47)</f>
        <v>35.154800000000002</v>
      </c>
      <c r="H47" s="349">
        <f>(H32*$E$47)</f>
        <v>28.355500000000003</v>
      </c>
      <c r="I47" s="349">
        <f t="shared" si="9"/>
        <v>28.6</v>
      </c>
      <c r="J47" s="349">
        <f t="shared" si="9"/>
        <v>22</v>
      </c>
      <c r="K47" s="349">
        <f t="shared" si="9"/>
        <v>14.388</v>
      </c>
      <c r="L47" s="339"/>
    </row>
    <row r="48" spans="1:15">
      <c r="A48" s="335" t="s">
        <v>1402</v>
      </c>
      <c r="B48" s="536" t="s">
        <v>1418</v>
      </c>
      <c r="C48" s="537"/>
      <c r="D48" s="585"/>
      <c r="E48" s="357">
        <v>6.0000000000000001E-3</v>
      </c>
      <c r="F48" s="349">
        <f>(F32*$E$48)</f>
        <v>61.812000000000005</v>
      </c>
      <c r="G48" s="349">
        <f t="shared" ref="G48:J48" si="10">(G32*$E$48)</f>
        <v>21.092880000000001</v>
      </c>
      <c r="H48" s="349">
        <f t="shared" si="10"/>
        <v>17.013300000000001</v>
      </c>
      <c r="I48" s="349">
        <f t="shared" si="10"/>
        <v>17.16</v>
      </c>
      <c r="J48" s="349">
        <f t="shared" si="10"/>
        <v>13.200000000000001</v>
      </c>
      <c r="K48" s="349">
        <f>(K32*$E$48)</f>
        <v>8.6327999999999996</v>
      </c>
      <c r="L48" s="339"/>
    </row>
    <row r="49" spans="1:12">
      <c r="A49" s="335" t="s">
        <v>1419</v>
      </c>
      <c r="B49" s="536" t="s">
        <v>1420</v>
      </c>
      <c r="C49" s="537"/>
      <c r="D49" s="585"/>
      <c r="E49" s="357">
        <v>2E-3</v>
      </c>
      <c r="F49" s="349">
        <f>(F32*$E$49)</f>
        <v>20.603999999999999</v>
      </c>
      <c r="G49" s="349">
        <f t="shared" ref="G49:K49" si="11">(G32*$E$49)</f>
        <v>7.0309600000000003</v>
      </c>
      <c r="H49" s="349">
        <f>(H32*$E$49)</f>
        <v>5.6711000000000009</v>
      </c>
      <c r="I49" s="349">
        <f t="shared" si="11"/>
        <v>5.72</v>
      </c>
      <c r="J49" s="349">
        <f t="shared" si="11"/>
        <v>4.4000000000000004</v>
      </c>
      <c r="K49" s="349">
        <f t="shared" si="11"/>
        <v>2.8776000000000002</v>
      </c>
      <c r="L49" s="339"/>
    </row>
    <row r="50" spans="1:12">
      <c r="A50" s="335" t="s">
        <v>475</v>
      </c>
      <c r="B50" s="536" t="s">
        <v>1421</v>
      </c>
      <c r="C50" s="537"/>
      <c r="D50" s="585"/>
      <c r="E50" s="357">
        <v>0.08</v>
      </c>
      <c r="F50" s="349">
        <f>(F32*$E$50)</f>
        <v>824.16</v>
      </c>
      <c r="G50" s="349">
        <f t="shared" ref="G50:K50" si="12">(G32*$E$50)</f>
        <v>281.23840000000001</v>
      </c>
      <c r="H50" s="349">
        <f t="shared" si="12"/>
        <v>226.84400000000002</v>
      </c>
      <c r="I50" s="349">
        <f>(I32*$E$50)</f>
        <v>228.8</v>
      </c>
      <c r="J50" s="349">
        <f t="shared" si="12"/>
        <v>176</v>
      </c>
      <c r="K50" s="349">
        <f t="shared" si="12"/>
        <v>115.104</v>
      </c>
      <c r="L50" s="339"/>
    </row>
    <row r="51" spans="1:12" ht="16.5" thickBot="1">
      <c r="A51" s="336"/>
      <c r="B51" s="546" t="s">
        <v>1422</v>
      </c>
      <c r="C51" s="547"/>
      <c r="D51" s="548"/>
      <c r="E51" s="358">
        <f>SUM(E43:E50)</f>
        <v>0.39800000000000008</v>
      </c>
      <c r="F51" s="352">
        <f>SUM(F43:F50)</f>
        <v>4100.1959999999999</v>
      </c>
      <c r="G51" s="352">
        <f t="shared" ref="G51:K51" si="13">SUM(G43:G50)</f>
        <v>1399.16104</v>
      </c>
      <c r="H51" s="352">
        <f t="shared" si="13"/>
        <v>1128.5489</v>
      </c>
      <c r="I51" s="352">
        <f t="shared" si="13"/>
        <v>1138.28</v>
      </c>
      <c r="J51" s="352">
        <f t="shared" si="13"/>
        <v>875.6</v>
      </c>
      <c r="K51" s="352">
        <f t="shared" si="13"/>
        <v>572.64239999999995</v>
      </c>
      <c r="L51" s="353"/>
    </row>
    <row r="52" spans="1:12" ht="4.5" customHeight="1" thickBot="1">
      <c r="A52" s="359"/>
      <c r="C52" s="320"/>
      <c r="D52" s="320"/>
      <c r="F52" s="339"/>
      <c r="G52" s="339"/>
      <c r="H52" s="339"/>
      <c r="I52" s="339"/>
      <c r="J52" s="339"/>
      <c r="K52" s="339"/>
      <c r="L52" s="339"/>
    </row>
    <row r="53" spans="1:12" ht="16.5" thickBot="1">
      <c r="A53" s="346" t="s">
        <v>146</v>
      </c>
      <c r="B53" s="570" t="s">
        <v>1423</v>
      </c>
      <c r="C53" s="571"/>
      <c r="D53" s="572"/>
      <c r="E53" s="347" t="s">
        <v>1407</v>
      </c>
      <c r="F53" s="348" t="s">
        <v>1396</v>
      </c>
      <c r="G53" s="348" t="s">
        <v>1396</v>
      </c>
      <c r="H53" s="348" t="s">
        <v>1396</v>
      </c>
      <c r="I53" s="348" t="s">
        <v>1396</v>
      </c>
      <c r="J53" s="348" t="s">
        <v>1396</v>
      </c>
      <c r="K53" s="348" t="s">
        <v>1396</v>
      </c>
      <c r="L53" s="339"/>
    </row>
    <row r="54" spans="1:12">
      <c r="A54" s="331" t="s">
        <v>1371</v>
      </c>
      <c r="B54" s="533" t="s">
        <v>1424</v>
      </c>
      <c r="C54" s="534"/>
      <c r="D54" s="535"/>
      <c r="E54" s="305"/>
      <c r="F54" s="349">
        <f>(18.6*22)</f>
        <v>409.20000000000005</v>
      </c>
      <c r="G54" s="349">
        <f>(18.6*22)-(0.06*G26)</f>
        <v>198.27120000000005</v>
      </c>
      <c r="H54" s="349">
        <f>(18.6*22)-(0.06*H26)</f>
        <v>239.06700000000004</v>
      </c>
      <c r="I54" s="349">
        <f>(18.6*22)-(0.06*I26)</f>
        <v>277.20000000000005</v>
      </c>
      <c r="J54" s="349">
        <f>(18.6*22)-(0.06*J26)</f>
        <v>277.20000000000005</v>
      </c>
      <c r="K54" s="349">
        <f>(18.6*22)-(0.06*K26)</f>
        <v>322.87200000000007</v>
      </c>
      <c r="L54" s="339"/>
    </row>
    <row r="55" spans="1:12">
      <c r="A55" s="333" t="s">
        <v>1373</v>
      </c>
      <c r="B55" s="536" t="s">
        <v>1425</v>
      </c>
      <c r="C55" s="537"/>
      <c r="D55" s="538"/>
      <c r="E55" s="305"/>
      <c r="F55" s="515">
        <f>(30*0.9)*22</f>
        <v>594</v>
      </c>
      <c r="G55" s="515">
        <f t="shared" ref="G55:K55" si="14">((5.75)*22)+((24.25*22)*0.91)</f>
        <v>611.98500000000001</v>
      </c>
      <c r="H55" s="515">
        <f t="shared" si="14"/>
        <v>611.98500000000001</v>
      </c>
      <c r="I55" s="349">
        <f t="shared" si="14"/>
        <v>611.98500000000001</v>
      </c>
      <c r="J55" s="349">
        <f t="shared" si="14"/>
        <v>611.98500000000001</v>
      </c>
      <c r="K55" s="349">
        <f t="shared" si="14"/>
        <v>611.98500000000001</v>
      </c>
      <c r="L55" s="339"/>
    </row>
    <row r="56" spans="1:12">
      <c r="A56" s="335" t="s">
        <v>1376</v>
      </c>
      <c r="B56" s="536" t="s">
        <v>1426</v>
      </c>
      <c r="C56" s="537"/>
      <c r="D56" s="538"/>
      <c r="E56" s="305"/>
      <c r="F56" s="515">
        <f>(10302/12)*0.005</f>
        <v>4.2925000000000004</v>
      </c>
      <c r="G56" s="349">
        <v>8.33</v>
      </c>
      <c r="H56" s="349">
        <v>8.33</v>
      </c>
      <c r="I56" s="349">
        <v>8.33</v>
      </c>
      <c r="J56" s="349">
        <v>8.33</v>
      </c>
      <c r="K56" s="349">
        <v>8.33</v>
      </c>
      <c r="L56" s="339"/>
    </row>
    <row r="57" spans="1:12">
      <c r="A57" s="333" t="s">
        <v>1378</v>
      </c>
      <c r="B57" s="536" t="s">
        <v>1427</v>
      </c>
      <c r="C57" s="537"/>
      <c r="D57" s="538"/>
      <c r="E57" s="306"/>
      <c r="F57" s="349">
        <v>0</v>
      </c>
      <c r="G57" s="349">
        <f>0.01*G26</f>
        <v>35.154800000000002</v>
      </c>
      <c r="H57" s="349">
        <f>0.01*H26</f>
        <v>28.355500000000003</v>
      </c>
      <c r="I57" s="349">
        <f>0.01*I26</f>
        <v>22</v>
      </c>
      <c r="J57" s="349">
        <f t="shared" ref="J57:K57" si="15">0.01*J26</f>
        <v>22</v>
      </c>
      <c r="K57" s="349">
        <f t="shared" si="15"/>
        <v>14.388</v>
      </c>
      <c r="L57" s="339"/>
    </row>
    <row r="58" spans="1:12" ht="16.5" thickBot="1">
      <c r="A58" s="336"/>
      <c r="B58" s="546" t="s">
        <v>1428</v>
      </c>
      <c r="C58" s="547"/>
      <c r="D58" s="548"/>
      <c r="E58" s="351"/>
      <c r="F58" s="352">
        <f>SUM(F54:F57)</f>
        <v>1007.4925000000001</v>
      </c>
      <c r="G58" s="352">
        <f t="shared" ref="G58:K58" si="16">SUM(G54:G57)</f>
        <v>853.7410000000001</v>
      </c>
      <c r="H58" s="352">
        <f t="shared" si="16"/>
        <v>887.73750000000007</v>
      </c>
      <c r="I58" s="352">
        <f>SUM(I54:I57)</f>
        <v>919.5150000000001</v>
      </c>
      <c r="J58" s="352">
        <f t="shared" si="16"/>
        <v>919.5150000000001</v>
      </c>
      <c r="K58" s="352">
        <f t="shared" si="16"/>
        <v>957.57500000000016</v>
      </c>
      <c r="L58" s="353"/>
    </row>
    <row r="59" spans="1:12" ht="3.75" customHeight="1" thickBot="1">
      <c r="A59" s="359"/>
      <c r="C59" s="320"/>
      <c r="D59" s="320"/>
      <c r="F59" s="339"/>
      <c r="G59" s="339"/>
      <c r="H59" s="339"/>
      <c r="I59" s="339"/>
      <c r="J59" s="339"/>
      <c r="K59" s="339"/>
      <c r="L59" s="339"/>
    </row>
    <row r="60" spans="1:12" ht="19.5" customHeight="1" thickBot="1">
      <c r="A60" s="360"/>
      <c r="B60" s="612" t="s">
        <v>1429</v>
      </c>
      <c r="C60" s="613"/>
      <c r="D60" s="614"/>
      <c r="E60" s="361"/>
      <c r="F60" s="362">
        <f>F58+F51+F40</f>
        <v>6707.9324999999999</v>
      </c>
      <c r="G60" s="362">
        <f>G58+G51+G40</f>
        <v>2798.9732666666669</v>
      </c>
      <c r="H60" s="362">
        <f>H58+H51+H40</f>
        <v>2456.7418333333335</v>
      </c>
      <c r="I60" s="362">
        <f t="shared" ref="I60:K60" si="17">I58+I51+I40</f>
        <v>2502.0483333333332</v>
      </c>
      <c r="J60" s="362">
        <f t="shared" si="17"/>
        <v>2136.8483333333334</v>
      </c>
      <c r="K60" s="362">
        <f t="shared" si="17"/>
        <v>1753.711</v>
      </c>
      <c r="L60" s="363"/>
    </row>
    <row r="61" spans="1:12" ht="3.75" customHeight="1">
      <c r="A61" s="359"/>
      <c r="C61" s="320"/>
      <c r="D61" s="320"/>
      <c r="F61" s="339"/>
      <c r="G61" s="339"/>
      <c r="H61" s="339"/>
      <c r="I61" s="339"/>
      <c r="J61" s="339"/>
      <c r="K61" s="339"/>
      <c r="L61" s="339"/>
    </row>
    <row r="62" spans="1:12" ht="4.5" customHeight="1" thickBot="1">
      <c r="A62" s="344"/>
      <c r="B62" s="345"/>
      <c r="C62" s="345"/>
      <c r="D62" s="345"/>
      <c r="E62" s="364"/>
      <c r="F62" s="353"/>
      <c r="G62" s="353"/>
      <c r="H62" s="353"/>
      <c r="I62" s="353"/>
      <c r="J62" s="353"/>
      <c r="K62" s="353"/>
      <c r="L62" s="353"/>
    </row>
    <row r="63" spans="1:12" ht="16.5" thickBot="1">
      <c r="A63" s="365">
        <v>3</v>
      </c>
      <c r="B63" s="582" t="s">
        <v>1430</v>
      </c>
      <c r="C63" s="583"/>
      <c r="D63" s="584"/>
      <c r="E63" s="366" t="s">
        <v>1407</v>
      </c>
      <c r="F63" s="367" t="s">
        <v>1396</v>
      </c>
      <c r="G63" s="368" t="s">
        <v>1396</v>
      </c>
      <c r="H63" s="368" t="s">
        <v>1396</v>
      </c>
      <c r="I63" s="368" t="s">
        <v>1396</v>
      </c>
      <c r="J63" s="368" t="s">
        <v>1396</v>
      </c>
      <c r="K63" s="368" t="s">
        <v>1396</v>
      </c>
      <c r="L63" s="339"/>
    </row>
    <row r="64" spans="1:12">
      <c r="A64" s="369" t="s">
        <v>1371</v>
      </c>
      <c r="B64" s="579" t="s">
        <v>1431</v>
      </c>
      <c r="C64" s="580"/>
      <c r="D64" s="581"/>
      <c r="E64" s="313">
        <f>((1/30)*7)/12</f>
        <v>1.9444444444444445E-2</v>
      </c>
      <c r="F64" s="370">
        <f>$E$64*F32</f>
        <v>200.31666666666666</v>
      </c>
      <c r="G64" s="371">
        <f t="shared" ref="G64:K64" si="18">$E$64*G32</f>
        <v>68.356555555555559</v>
      </c>
      <c r="H64" s="370">
        <f t="shared" si="18"/>
        <v>55.135694444444447</v>
      </c>
      <c r="I64" s="372">
        <f t="shared" si="18"/>
        <v>55.611111111111114</v>
      </c>
      <c r="J64" s="370">
        <f t="shared" si="18"/>
        <v>42.777777777777779</v>
      </c>
      <c r="K64" s="372">
        <f t="shared" si="18"/>
        <v>27.976666666666667</v>
      </c>
      <c r="L64" s="339"/>
    </row>
    <row r="65" spans="1:12">
      <c r="A65" s="373" t="s">
        <v>1373</v>
      </c>
      <c r="B65" s="576" t="s">
        <v>1432</v>
      </c>
      <c r="C65" s="577"/>
      <c r="D65" s="578"/>
      <c r="E65" s="314">
        <f>E51</f>
        <v>0.39800000000000008</v>
      </c>
      <c r="F65" s="374">
        <f>$E$65*F64</f>
        <v>79.726033333333348</v>
      </c>
      <c r="G65" s="375">
        <f t="shared" ref="G65:K65" si="19">$E$65*G64</f>
        <v>27.205909111111119</v>
      </c>
      <c r="H65" s="374">
        <f t="shared" si="19"/>
        <v>21.944006388888894</v>
      </c>
      <c r="I65" s="375">
        <f t="shared" si="19"/>
        <v>22.133222222222226</v>
      </c>
      <c r="J65" s="374">
        <f t="shared" si="19"/>
        <v>17.02555555555556</v>
      </c>
      <c r="K65" s="375">
        <f t="shared" si="19"/>
        <v>11.134713333333336</v>
      </c>
      <c r="L65" s="339"/>
    </row>
    <row r="66" spans="1:12">
      <c r="A66" s="373" t="s">
        <v>1376</v>
      </c>
      <c r="B66" s="576" t="s">
        <v>1479</v>
      </c>
      <c r="C66" s="577"/>
      <c r="D66" s="578"/>
      <c r="E66" s="315"/>
      <c r="F66" s="374">
        <f t="shared" ref="F66:K66" si="20">(F32+F37+F38)*0.08*0.4</f>
        <v>366.29333333333335</v>
      </c>
      <c r="G66" s="375">
        <f t="shared" si="20"/>
        <v>124.99484444444442</v>
      </c>
      <c r="H66" s="374">
        <f t="shared" si="20"/>
        <v>100.81955555555557</v>
      </c>
      <c r="I66" s="375">
        <f t="shared" si="20"/>
        <v>101.6888888888889</v>
      </c>
      <c r="J66" s="374">
        <f t="shared" si="20"/>
        <v>78.222222222222243</v>
      </c>
      <c r="K66" s="375">
        <f t="shared" si="20"/>
        <v>51.157333333333341</v>
      </c>
      <c r="L66" s="339"/>
    </row>
    <row r="67" spans="1:12">
      <c r="A67" s="373" t="s">
        <v>1378</v>
      </c>
      <c r="B67" s="576" t="s">
        <v>1434</v>
      </c>
      <c r="C67" s="577"/>
      <c r="D67" s="578"/>
      <c r="E67" s="314">
        <f>((1/12)*0.1)</f>
        <v>8.3333333333333332E-3</v>
      </c>
      <c r="F67" s="374">
        <f t="shared" ref="F67:K67" si="21">$E$67*F32</f>
        <v>85.85</v>
      </c>
      <c r="G67" s="375">
        <f t="shared" si="21"/>
        <v>29.295666666666666</v>
      </c>
      <c r="H67" s="374">
        <f t="shared" si="21"/>
        <v>23.629583333333336</v>
      </c>
      <c r="I67" s="375">
        <f t="shared" si="21"/>
        <v>23.833333333333332</v>
      </c>
      <c r="J67" s="374">
        <f t="shared" si="21"/>
        <v>18.333333333333332</v>
      </c>
      <c r="K67" s="375">
        <f t="shared" si="21"/>
        <v>11.99</v>
      </c>
      <c r="L67" s="339"/>
    </row>
    <row r="68" spans="1:12">
      <c r="A68" s="373" t="s">
        <v>1380</v>
      </c>
      <c r="B68" s="576" t="s">
        <v>1435</v>
      </c>
      <c r="C68" s="577"/>
      <c r="D68" s="578"/>
      <c r="E68" s="314">
        <v>0.08</v>
      </c>
      <c r="F68" s="374">
        <f>$E$68*F67</f>
        <v>6.8679999999999994</v>
      </c>
      <c r="G68" s="375">
        <f t="shared" ref="G68:K68" si="22">$E$68*G67</f>
        <v>2.3436533333333331</v>
      </c>
      <c r="H68" s="374">
        <f t="shared" si="22"/>
        <v>1.890366666666667</v>
      </c>
      <c r="I68" s="375">
        <f t="shared" si="22"/>
        <v>1.9066666666666665</v>
      </c>
      <c r="J68" s="374">
        <f t="shared" si="22"/>
        <v>1.4666666666666666</v>
      </c>
      <c r="K68" s="375">
        <f t="shared" si="22"/>
        <v>0.95920000000000005</v>
      </c>
      <c r="L68" s="339"/>
    </row>
    <row r="69" spans="1:12" ht="16.5" thickBot="1">
      <c r="A69" s="376" t="s">
        <v>1402</v>
      </c>
      <c r="B69" s="576" t="s">
        <v>1478</v>
      </c>
      <c r="C69" s="577"/>
      <c r="D69" s="578"/>
      <c r="E69" s="316"/>
      <c r="F69" s="374">
        <f t="shared" ref="F69:K69" si="23">(F32+F37+F38)*0.08*0.4*0.1</f>
        <v>36.629333333333335</v>
      </c>
      <c r="G69" s="375">
        <f t="shared" si="23"/>
        <v>12.499484444444443</v>
      </c>
      <c r="H69" s="374">
        <f t="shared" si="23"/>
        <v>10.081955555555558</v>
      </c>
      <c r="I69" s="375">
        <f t="shared" si="23"/>
        <v>10.16888888888889</v>
      </c>
      <c r="J69" s="374">
        <f t="shared" si="23"/>
        <v>7.8222222222222246</v>
      </c>
      <c r="K69" s="375">
        <f t="shared" si="23"/>
        <v>5.1157333333333348</v>
      </c>
      <c r="L69" s="339"/>
    </row>
    <row r="70" spans="1:12" ht="16.5" thickBot="1">
      <c r="A70" s="377"/>
      <c r="B70" s="595" t="s">
        <v>1436</v>
      </c>
      <c r="C70" s="596"/>
      <c r="D70" s="597"/>
      <c r="E70" s="378"/>
      <c r="F70" s="379">
        <f t="shared" ref="F70:K70" si="24">SUM(F64:F69)</f>
        <v>775.68336666666676</v>
      </c>
      <c r="G70" s="380">
        <f t="shared" si="24"/>
        <v>264.69611355555554</v>
      </c>
      <c r="H70" s="381">
        <f t="shared" si="24"/>
        <v>213.50116194444445</v>
      </c>
      <c r="I70" s="380">
        <f t="shared" si="24"/>
        <v>215.34211111111114</v>
      </c>
      <c r="J70" s="380">
        <f t="shared" si="24"/>
        <v>165.6477777777778</v>
      </c>
      <c r="K70" s="380">
        <f t="shared" si="24"/>
        <v>108.33364666666668</v>
      </c>
      <c r="L70" s="353"/>
    </row>
    <row r="71" spans="1:12" ht="5.25" customHeight="1" thickBot="1">
      <c r="A71" s="359"/>
      <c r="C71" s="320"/>
      <c r="D71" s="320"/>
      <c r="F71" s="339"/>
      <c r="G71" s="339"/>
      <c r="H71" s="339"/>
      <c r="I71" s="339"/>
      <c r="J71" s="339"/>
      <c r="K71" s="339"/>
      <c r="L71" s="339"/>
    </row>
    <row r="72" spans="1:12" ht="16.5" thickBot="1">
      <c r="A72" s="382">
        <v>4</v>
      </c>
      <c r="B72" s="523" t="s">
        <v>1437</v>
      </c>
      <c r="C72" s="524"/>
      <c r="D72" s="524"/>
      <c r="E72" s="524"/>
      <c r="F72" s="524"/>
      <c r="G72" s="524"/>
      <c r="H72" s="524"/>
      <c r="I72" s="524"/>
      <c r="J72" s="524"/>
      <c r="K72" s="525"/>
      <c r="L72" s="339"/>
    </row>
    <row r="73" spans="1:12" ht="8.25" customHeight="1" thickBot="1">
      <c r="A73" s="383"/>
      <c r="B73" s="384"/>
      <c r="C73" s="345"/>
      <c r="D73" s="345"/>
      <c r="E73" s="385"/>
      <c r="F73" s="386"/>
      <c r="G73" s="386"/>
      <c r="H73" s="386"/>
      <c r="I73" s="386"/>
      <c r="J73" s="386"/>
      <c r="K73" s="386"/>
      <c r="L73" s="339"/>
    </row>
    <row r="74" spans="1:12" ht="16.5" thickBot="1">
      <c r="A74" s="387" t="s">
        <v>1438</v>
      </c>
      <c r="B74" s="526" t="s">
        <v>1439</v>
      </c>
      <c r="C74" s="526"/>
      <c r="D74" s="526"/>
      <c r="E74" s="388" t="s">
        <v>1407</v>
      </c>
      <c r="F74" s="389" t="s">
        <v>1396</v>
      </c>
      <c r="G74" s="389" t="s">
        <v>1396</v>
      </c>
      <c r="H74" s="389" t="s">
        <v>1396</v>
      </c>
      <c r="I74" s="389" t="s">
        <v>1396</v>
      </c>
      <c r="J74" s="389" t="s">
        <v>1396</v>
      </c>
      <c r="K74" s="389" t="s">
        <v>1396</v>
      </c>
      <c r="L74" s="339"/>
    </row>
    <row r="75" spans="1:12">
      <c r="A75" s="390" t="s">
        <v>1371</v>
      </c>
      <c r="B75" s="579" t="s">
        <v>1440</v>
      </c>
      <c r="C75" s="580"/>
      <c r="D75" s="581"/>
      <c r="E75" s="310">
        <f>1/12</f>
        <v>8.3333333333333329E-2</v>
      </c>
      <c r="F75" s="391">
        <f t="shared" ref="F75:K75" si="25">$E$75*F32</f>
        <v>858.5</v>
      </c>
      <c r="G75" s="391">
        <f t="shared" si="25"/>
        <v>292.95666666666665</v>
      </c>
      <c r="H75" s="391">
        <f t="shared" si="25"/>
        <v>236.29583333333335</v>
      </c>
      <c r="I75" s="391">
        <f t="shared" si="25"/>
        <v>238.33333333333331</v>
      </c>
      <c r="J75" s="391">
        <f t="shared" si="25"/>
        <v>183.33333333333331</v>
      </c>
      <c r="K75" s="391">
        <f t="shared" si="25"/>
        <v>119.89999999999999</v>
      </c>
      <c r="L75" s="339"/>
    </row>
    <row r="76" spans="1:12">
      <c r="A76" s="392" t="s">
        <v>1373</v>
      </c>
      <c r="B76" s="576" t="s">
        <v>1441</v>
      </c>
      <c r="C76" s="577"/>
      <c r="D76" s="578"/>
      <c r="E76" s="311">
        <f>((1/30)/12)*5</f>
        <v>1.388888888888889E-2</v>
      </c>
      <c r="F76" s="391">
        <f t="shared" ref="F76:K76" si="26">$E$76*F32</f>
        <v>143.08333333333334</v>
      </c>
      <c r="G76" s="391">
        <f t="shared" si="26"/>
        <v>48.826111111111118</v>
      </c>
      <c r="H76" s="391">
        <f t="shared" si="26"/>
        <v>39.382638888888891</v>
      </c>
      <c r="I76" s="391">
        <f t="shared" si="26"/>
        <v>39.722222222222221</v>
      </c>
      <c r="J76" s="391">
        <f t="shared" si="26"/>
        <v>30.555555555555557</v>
      </c>
      <c r="K76" s="391">
        <f t="shared" si="26"/>
        <v>19.983333333333334</v>
      </c>
      <c r="L76" s="339"/>
    </row>
    <row r="77" spans="1:12">
      <c r="A77" s="393" t="s">
        <v>1376</v>
      </c>
      <c r="B77" s="533" t="s">
        <v>1442</v>
      </c>
      <c r="C77" s="534"/>
      <c r="D77" s="535"/>
      <c r="E77" s="311">
        <f>(((1/30)*5)/12)*0.05</f>
        <v>6.9444444444444447E-4</v>
      </c>
      <c r="F77" s="391">
        <f t="shared" ref="F77:K77" si="27">$E$77*F32</f>
        <v>7.1541666666666668</v>
      </c>
      <c r="G77" s="391">
        <f t="shared" si="27"/>
        <v>2.4413055555555556</v>
      </c>
      <c r="H77" s="391">
        <f t="shared" si="27"/>
        <v>1.9691319444444446</v>
      </c>
      <c r="I77" s="391">
        <f t="shared" si="27"/>
        <v>1.9861111111111112</v>
      </c>
      <c r="J77" s="391">
        <f t="shared" si="27"/>
        <v>1.5277777777777779</v>
      </c>
      <c r="K77" s="391">
        <f t="shared" si="27"/>
        <v>0.99916666666666665</v>
      </c>
      <c r="L77" s="339"/>
    </row>
    <row r="78" spans="1:12">
      <c r="A78" s="394" t="s">
        <v>1378</v>
      </c>
      <c r="B78" s="536" t="s">
        <v>1443</v>
      </c>
      <c r="C78" s="537"/>
      <c r="D78" s="538"/>
      <c r="E78" s="311">
        <f>((1/30)*3)/12</f>
        <v>8.3333333333333332E-3</v>
      </c>
      <c r="F78" s="391">
        <f t="shared" ref="F78:K78" si="28">$E$78*F32</f>
        <v>85.85</v>
      </c>
      <c r="G78" s="391">
        <f t="shared" si="28"/>
        <v>29.295666666666666</v>
      </c>
      <c r="H78" s="391">
        <f t="shared" si="28"/>
        <v>23.629583333333336</v>
      </c>
      <c r="I78" s="391">
        <f t="shared" si="28"/>
        <v>23.833333333333332</v>
      </c>
      <c r="J78" s="391">
        <f t="shared" si="28"/>
        <v>18.333333333333332</v>
      </c>
      <c r="K78" s="391">
        <f t="shared" si="28"/>
        <v>11.99</v>
      </c>
      <c r="L78" s="339"/>
    </row>
    <row r="79" spans="1:12">
      <c r="A79" s="394" t="s">
        <v>1380</v>
      </c>
      <c r="B79" s="536" t="s">
        <v>1444</v>
      </c>
      <c r="C79" s="537"/>
      <c r="D79" s="538"/>
      <c r="E79" s="311">
        <f>(((4/3)*(4/12))/12)*0.01</f>
        <v>3.7037037037037035E-4</v>
      </c>
      <c r="F79" s="391">
        <f t="shared" ref="F79:K79" si="29">$E$79*F32</f>
        <v>3.8155555555555551</v>
      </c>
      <c r="G79" s="391">
        <f t="shared" si="29"/>
        <v>1.3020296296296296</v>
      </c>
      <c r="H79" s="391">
        <f t="shared" si="29"/>
        <v>1.0502037037037038</v>
      </c>
      <c r="I79" s="391">
        <f t="shared" si="29"/>
        <v>1.0592592592592591</v>
      </c>
      <c r="J79" s="391">
        <f t="shared" si="29"/>
        <v>0.81481481481481477</v>
      </c>
      <c r="K79" s="391">
        <f t="shared" si="29"/>
        <v>0.53288888888888886</v>
      </c>
      <c r="L79" s="339"/>
    </row>
    <row r="80" spans="1:12">
      <c r="A80" s="395"/>
      <c r="B80" s="602" t="s">
        <v>1445</v>
      </c>
      <c r="C80" s="603"/>
      <c r="D80" s="604"/>
      <c r="E80" s="311"/>
      <c r="F80" s="396">
        <f>SUM(F75:F79)</f>
        <v>1098.4030555555557</v>
      </c>
      <c r="G80" s="396">
        <f t="shared" ref="G80:K80" si="30">SUM(G75:G79)</f>
        <v>374.82177962962965</v>
      </c>
      <c r="H80" s="396">
        <f t="shared" si="30"/>
        <v>302.32739120370371</v>
      </c>
      <c r="I80" s="396">
        <f t="shared" si="30"/>
        <v>304.93425925925919</v>
      </c>
      <c r="J80" s="396">
        <f t="shared" si="30"/>
        <v>234.56481481481478</v>
      </c>
      <c r="K80" s="396">
        <f t="shared" si="30"/>
        <v>153.40538888888889</v>
      </c>
      <c r="L80" s="339"/>
    </row>
    <row r="81" spans="1:12">
      <c r="A81" s="395" t="s">
        <v>1402</v>
      </c>
      <c r="B81" s="536" t="s">
        <v>1446</v>
      </c>
      <c r="C81" s="537"/>
      <c r="D81" s="538"/>
      <c r="E81" s="312">
        <f>E51</f>
        <v>0.39800000000000008</v>
      </c>
      <c r="F81" s="397">
        <f>$E$81*F80</f>
        <v>437.16441611111128</v>
      </c>
      <c r="G81" s="397">
        <f>$E$81*G80</f>
        <v>149.17906829259263</v>
      </c>
      <c r="H81" s="397">
        <f t="shared" ref="H81:K81" si="31">$E$81*H80</f>
        <v>120.32630169907409</v>
      </c>
      <c r="I81" s="397">
        <f>$E$81*I80</f>
        <v>121.36383518518518</v>
      </c>
      <c r="J81" s="397">
        <f t="shared" si="31"/>
        <v>93.356796296296295</v>
      </c>
      <c r="K81" s="397">
        <f t="shared" si="31"/>
        <v>61.05534477777779</v>
      </c>
      <c r="L81" s="339"/>
    </row>
    <row r="82" spans="1:12" ht="16.5" thickBot="1">
      <c r="A82" s="398"/>
      <c r="B82" s="546" t="s">
        <v>1447</v>
      </c>
      <c r="C82" s="547"/>
      <c r="D82" s="589"/>
      <c r="E82" s="399"/>
      <c r="F82" s="400">
        <f>F80+F81</f>
        <v>1535.567471666667</v>
      </c>
      <c r="G82" s="400">
        <f>G80+G81</f>
        <v>524.00084792222231</v>
      </c>
      <c r="H82" s="400">
        <f t="shared" ref="H82:K82" si="32">H80+H81</f>
        <v>422.65369290277783</v>
      </c>
      <c r="I82" s="400">
        <f t="shared" si="32"/>
        <v>426.29809444444436</v>
      </c>
      <c r="J82" s="400">
        <f t="shared" si="32"/>
        <v>327.92161111111108</v>
      </c>
      <c r="K82" s="400">
        <f t="shared" si="32"/>
        <v>214.46073366666667</v>
      </c>
      <c r="L82" s="353"/>
    </row>
    <row r="83" spans="1:12" ht="6.75" customHeight="1" thickBot="1">
      <c r="A83" s="344"/>
      <c r="B83" s="345"/>
      <c r="C83" s="345"/>
      <c r="D83" s="345"/>
      <c r="E83" s="401"/>
      <c r="F83" s="353"/>
      <c r="G83" s="353"/>
      <c r="H83" s="353"/>
      <c r="I83" s="353"/>
      <c r="J83" s="353"/>
      <c r="K83" s="353"/>
      <c r="L83" s="353"/>
    </row>
    <row r="84" spans="1:12" ht="16.5" thickBot="1">
      <c r="A84" s="387" t="s">
        <v>1448</v>
      </c>
      <c r="B84" s="526" t="s">
        <v>1449</v>
      </c>
      <c r="C84" s="526"/>
      <c r="D84" s="526"/>
      <c r="E84" s="388" t="s">
        <v>1407</v>
      </c>
      <c r="F84" s="389" t="s">
        <v>1396</v>
      </c>
      <c r="G84" s="389" t="s">
        <v>1396</v>
      </c>
      <c r="H84" s="389" t="s">
        <v>1396</v>
      </c>
      <c r="I84" s="389" t="s">
        <v>1396</v>
      </c>
      <c r="J84" s="389" t="s">
        <v>1396</v>
      </c>
      <c r="K84" s="389" t="s">
        <v>1396</v>
      </c>
      <c r="L84" s="339"/>
    </row>
    <row r="85" spans="1:12">
      <c r="A85" s="402" t="s">
        <v>1371</v>
      </c>
      <c r="B85" s="545" t="s">
        <v>1450</v>
      </c>
      <c r="C85" s="545"/>
      <c r="D85" s="545"/>
      <c r="E85" s="308"/>
      <c r="F85" s="391">
        <v>0</v>
      </c>
      <c r="G85" s="391">
        <v>0</v>
      </c>
      <c r="H85" s="391">
        <v>0</v>
      </c>
      <c r="I85" s="391">
        <v>0</v>
      </c>
      <c r="J85" s="391">
        <v>0</v>
      </c>
      <c r="K85" s="391">
        <v>0</v>
      </c>
      <c r="L85" s="339"/>
    </row>
    <row r="86" spans="1:12">
      <c r="A86" s="359" t="s">
        <v>1373</v>
      </c>
      <c r="B86" s="536" t="s">
        <v>1446</v>
      </c>
      <c r="C86" s="537"/>
      <c r="D86" s="537"/>
      <c r="E86" s="307">
        <f>E51</f>
        <v>0.39800000000000008</v>
      </c>
      <c r="F86" s="397">
        <f>F85*E86</f>
        <v>0</v>
      </c>
      <c r="G86" s="397">
        <f t="shared" ref="G86:K86" si="33">G85*F86</f>
        <v>0</v>
      </c>
      <c r="H86" s="397">
        <f t="shared" si="33"/>
        <v>0</v>
      </c>
      <c r="I86" s="397">
        <f t="shared" si="33"/>
        <v>0</v>
      </c>
      <c r="J86" s="397">
        <f t="shared" si="33"/>
        <v>0</v>
      </c>
      <c r="K86" s="397">
        <f t="shared" si="33"/>
        <v>0</v>
      </c>
      <c r="L86" s="339"/>
    </row>
    <row r="87" spans="1:12" ht="16.5" thickBot="1">
      <c r="A87" s="336"/>
      <c r="B87" s="546" t="s">
        <v>1451</v>
      </c>
      <c r="C87" s="547"/>
      <c r="D87" s="548"/>
      <c r="E87" s="403"/>
      <c r="F87" s="404">
        <f>SUM(F85:F86)</f>
        <v>0</v>
      </c>
      <c r="G87" s="404">
        <f t="shared" ref="G87:K87" si="34">SUM(G85:G86)</f>
        <v>0</v>
      </c>
      <c r="H87" s="404">
        <f t="shared" si="34"/>
        <v>0</v>
      </c>
      <c r="I87" s="404">
        <f t="shared" si="34"/>
        <v>0</v>
      </c>
      <c r="J87" s="404">
        <f t="shared" si="34"/>
        <v>0</v>
      </c>
      <c r="K87" s="404">
        <f t="shared" si="34"/>
        <v>0</v>
      </c>
      <c r="L87" s="353"/>
    </row>
    <row r="88" spans="1:12" ht="5.25" customHeight="1" thickBot="1">
      <c r="A88" s="405"/>
      <c r="B88" s="406"/>
      <c r="C88" s="406"/>
      <c r="D88" s="406"/>
      <c r="E88" s="407"/>
      <c r="F88" s="408"/>
      <c r="G88" s="408"/>
      <c r="H88" s="408"/>
      <c r="I88" s="408"/>
      <c r="J88" s="408"/>
      <c r="K88" s="408"/>
      <c r="L88" s="353"/>
    </row>
    <row r="89" spans="1:12" ht="18" customHeight="1" thickBot="1">
      <c r="A89" s="409"/>
      <c r="B89" s="605" t="s">
        <v>1452</v>
      </c>
      <c r="C89" s="606"/>
      <c r="D89" s="607"/>
      <c r="E89" s="410"/>
      <c r="F89" s="411">
        <f>F82+F87</f>
        <v>1535.567471666667</v>
      </c>
      <c r="G89" s="411">
        <f t="shared" ref="G89:J89" si="35">G82+G87</f>
        <v>524.00084792222231</v>
      </c>
      <c r="H89" s="411">
        <f t="shared" si="35"/>
        <v>422.65369290277783</v>
      </c>
      <c r="I89" s="411">
        <f>I82+I87</f>
        <v>426.29809444444436</v>
      </c>
      <c r="J89" s="411">
        <f t="shared" si="35"/>
        <v>327.92161111111108</v>
      </c>
      <c r="K89" s="411">
        <f>K82+K87</f>
        <v>214.46073366666667</v>
      </c>
      <c r="L89" s="363"/>
    </row>
    <row r="90" spans="1:12" ht="9.75" customHeight="1" thickBot="1">
      <c r="A90" s="412"/>
      <c r="B90" s="413"/>
      <c r="C90" s="413"/>
      <c r="D90" s="413"/>
      <c r="E90" s="401"/>
      <c r="F90" s="353"/>
      <c r="G90" s="353"/>
      <c r="H90" s="353"/>
      <c r="I90" s="353"/>
      <c r="J90" s="353"/>
      <c r="K90" s="353"/>
      <c r="L90" s="353"/>
    </row>
    <row r="91" spans="1:12" ht="22.5" customHeight="1" thickBot="1">
      <c r="A91" s="414">
        <v>5</v>
      </c>
      <c r="B91" s="530" t="s">
        <v>1453</v>
      </c>
      <c r="C91" s="531"/>
      <c r="D91" s="532"/>
      <c r="E91" s="415" t="s">
        <v>1395</v>
      </c>
      <c r="F91" s="416" t="s">
        <v>1396</v>
      </c>
      <c r="G91" s="416" t="s">
        <v>1396</v>
      </c>
      <c r="H91" s="416" t="s">
        <v>1396</v>
      </c>
      <c r="I91" s="416" t="s">
        <v>1396</v>
      </c>
      <c r="J91" s="416" t="s">
        <v>1396</v>
      </c>
      <c r="K91" s="416" t="s">
        <v>1396</v>
      </c>
      <c r="L91" s="330"/>
    </row>
    <row r="92" spans="1:12">
      <c r="A92" s="417" t="s">
        <v>1371</v>
      </c>
      <c r="B92" s="533" t="s">
        <v>1454</v>
      </c>
      <c r="C92" s="534"/>
      <c r="D92" s="535"/>
      <c r="E92" s="418"/>
      <c r="F92" s="419">
        <v>0</v>
      </c>
      <c r="G92" s="419">
        <f>'materiais da preventiva'!$H$110</f>
        <v>59.390333333333331</v>
      </c>
      <c r="H92" s="419">
        <f>'materiais da preventiva'!$H$110</f>
        <v>59.390333333333331</v>
      </c>
      <c r="I92" s="419">
        <f>'materiais da preventiva'!$H$110</f>
        <v>59.390333333333331</v>
      </c>
      <c r="J92" s="419">
        <f>'materiais da preventiva'!$H$110</f>
        <v>59.390333333333331</v>
      </c>
      <c r="K92" s="419">
        <f>'materiais da preventiva'!$H$110</f>
        <v>59.390333333333331</v>
      </c>
      <c r="L92" s="339"/>
    </row>
    <row r="93" spans="1:12">
      <c r="A93" s="420" t="s">
        <v>1373</v>
      </c>
      <c r="B93" s="536" t="s">
        <v>1455</v>
      </c>
      <c r="C93" s="537"/>
      <c r="D93" s="538"/>
      <c r="E93" s="421"/>
      <c r="F93" s="419">
        <v>0</v>
      </c>
      <c r="G93" s="419">
        <f>'materiais da preventiva'!$J$37</f>
        <v>246.96150000000003</v>
      </c>
      <c r="H93" s="419">
        <f>'materiais da preventiva'!$J$37</f>
        <v>246.96150000000003</v>
      </c>
      <c r="I93" s="419">
        <f>'materiais da preventiva'!$J$37</f>
        <v>246.96150000000003</v>
      </c>
      <c r="J93" s="419">
        <f>'materiais da preventiva'!$J$37</f>
        <v>246.96150000000003</v>
      </c>
      <c r="K93" s="419">
        <f>'materiais da preventiva'!$J$37</f>
        <v>246.96150000000003</v>
      </c>
      <c r="L93" s="339"/>
    </row>
    <row r="94" spans="1:12" ht="18" customHeight="1">
      <c r="A94" s="422" t="s">
        <v>1376</v>
      </c>
      <c r="B94" s="539" t="s">
        <v>1456</v>
      </c>
      <c r="C94" s="540"/>
      <c r="D94" s="541"/>
      <c r="E94" s="421"/>
      <c r="F94" s="419">
        <v>0</v>
      </c>
      <c r="G94" s="419">
        <f>'materiais da preventiva'!$J$98</f>
        <v>46.067448888888883</v>
      </c>
      <c r="H94" s="419">
        <f>'materiais da preventiva'!$J$98</f>
        <v>46.067448888888883</v>
      </c>
      <c r="I94" s="419">
        <f>'materiais da preventiva'!$J$98</f>
        <v>46.067448888888883</v>
      </c>
      <c r="J94" s="419">
        <f>'materiais da preventiva'!$J$98</f>
        <v>46.067448888888883</v>
      </c>
      <c r="K94" s="419">
        <f>'materiais da preventiva'!$J$98</f>
        <v>46.067448888888883</v>
      </c>
      <c r="L94" s="339"/>
    </row>
    <row r="95" spans="1:12" ht="18" customHeight="1">
      <c r="A95" s="423" t="s">
        <v>1378</v>
      </c>
      <c r="B95" s="539" t="s">
        <v>1457</v>
      </c>
      <c r="C95" s="540"/>
      <c r="D95" s="541"/>
      <c r="E95" s="424"/>
      <c r="F95" s="425">
        <v>0</v>
      </c>
      <c r="G95" s="425">
        <f>'materiais da preventiva'!$K$123</f>
        <v>17.007319444444445</v>
      </c>
      <c r="H95" s="425">
        <f>'materiais da preventiva'!$K$123</f>
        <v>17.007319444444445</v>
      </c>
      <c r="I95" s="425">
        <f>'materiais da preventiva'!$K$123</f>
        <v>17.007319444444445</v>
      </c>
      <c r="J95" s="425">
        <f>'materiais da preventiva'!$K$123</f>
        <v>17.007319444444445</v>
      </c>
      <c r="K95" s="425">
        <f>'materiais da preventiva'!$K$123</f>
        <v>17.007319444444445</v>
      </c>
      <c r="L95" s="339"/>
    </row>
    <row r="96" spans="1:12" ht="20.25" customHeight="1" thickBot="1">
      <c r="A96" s="426"/>
      <c r="B96" s="542" t="s">
        <v>1458</v>
      </c>
      <c r="C96" s="543"/>
      <c r="D96" s="544"/>
      <c r="E96" s="427"/>
      <c r="F96" s="428">
        <f>SUM(F92:F95)</f>
        <v>0</v>
      </c>
      <c r="G96" s="428">
        <f t="shared" ref="G96:K96" si="36">SUM(G92:G95)</f>
        <v>369.42660166666667</v>
      </c>
      <c r="H96" s="428">
        <f t="shared" si="36"/>
        <v>369.42660166666667</v>
      </c>
      <c r="I96" s="428">
        <f t="shared" si="36"/>
        <v>369.42660166666667</v>
      </c>
      <c r="J96" s="428">
        <f t="shared" si="36"/>
        <v>369.42660166666667</v>
      </c>
      <c r="K96" s="428">
        <f t="shared" si="36"/>
        <v>369.42660166666667</v>
      </c>
      <c r="L96" s="353"/>
    </row>
    <row r="97" spans="1:12" ht="6" customHeight="1" thickBot="1">
      <c r="A97" s="412"/>
      <c r="B97" s="345"/>
      <c r="C97" s="345"/>
      <c r="D97" s="345"/>
      <c r="E97" s="364"/>
      <c r="F97" s="353"/>
      <c r="G97" s="353"/>
      <c r="H97" s="353"/>
      <c r="I97" s="353"/>
      <c r="J97" s="353"/>
      <c r="K97" s="353"/>
      <c r="L97" s="353"/>
    </row>
    <row r="98" spans="1:12" ht="20.25" customHeight="1" thickBot="1">
      <c r="A98" s="429"/>
      <c r="B98" s="618" t="s">
        <v>1459</v>
      </c>
      <c r="C98" s="619"/>
      <c r="D98" s="620"/>
      <c r="E98" s="430"/>
      <c r="F98" s="431">
        <f t="shared" ref="F98:K98" si="37">F96+F89+F70+F60+F32</f>
        <v>19321.183338333336</v>
      </c>
      <c r="G98" s="431">
        <f t="shared" si="37"/>
        <v>7472.5768298111107</v>
      </c>
      <c r="H98" s="431">
        <f t="shared" si="37"/>
        <v>6297.8732898472226</v>
      </c>
      <c r="I98" s="431">
        <f t="shared" si="37"/>
        <v>6373.1151405555556</v>
      </c>
      <c r="J98" s="431">
        <f t="shared" si="37"/>
        <v>5199.8443238888885</v>
      </c>
      <c r="K98" s="431">
        <f t="shared" si="37"/>
        <v>3884.7319820000002</v>
      </c>
      <c r="L98" s="353"/>
    </row>
    <row r="99" spans="1:12" ht="8.25" customHeight="1" thickBot="1">
      <c r="A99" s="412"/>
      <c r="B99" s="345"/>
      <c r="C99" s="345"/>
      <c r="D99" s="345"/>
      <c r="E99" s="364"/>
      <c r="F99" s="353"/>
      <c r="G99" s="353"/>
      <c r="H99" s="353"/>
      <c r="I99" s="353"/>
      <c r="J99" s="353"/>
      <c r="K99" s="353"/>
      <c r="L99" s="353"/>
    </row>
    <row r="100" spans="1:12" ht="16.5" thickBot="1">
      <c r="A100" s="432">
        <v>6</v>
      </c>
      <c r="B100" s="609" t="s">
        <v>1460</v>
      </c>
      <c r="C100" s="610"/>
      <c r="D100" s="611"/>
      <c r="E100" s="433" t="s">
        <v>1395</v>
      </c>
      <c r="F100" s="434" t="s">
        <v>1396</v>
      </c>
      <c r="G100" s="434"/>
      <c r="H100" s="434"/>
      <c r="I100" s="434"/>
      <c r="J100" s="434"/>
      <c r="K100" s="434" t="s">
        <v>1396</v>
      </c>
      <c r="L100" s="353"/>
    </row>
    <row r="101" spans="1:12">
      <c r="A101" s="417" t="s">
        <v>1371</v>
      </c>
      <c r="B101" s="533" t="s">
        <v>1461</v>
      </c>
      <c r="C101" s="534"/>
      <c r="D101" s="535"/>
      <c r="E101" s="435">
        <v>0.05</v>
      </c>
      <c r="F101" s="436">
        <f>$E$101*F98</f>
        <v>966.05916691666687</v>
      </c>
      <c r="G101" s="436">
        <f t="shared" ref="G101:K101" si="38">$E$101*G98</f>
        <v>373.62884149055554</v>
      </c>
      <c r="H101" s="436">
        <f t="shared" si="38"/>
        <v>314.89366449236115</v>
      </c>
      <c r="I101" s="436">
        <f t="shared" si="38"/>
        <v>318.65575702777778</v>
      </c>
      <c r="J101" s="436">
        <f t="shared" si="38"/>
        <v>259.99221619444444</v>
      </c>
      <c r="K101" s="436">
        <f t="shared" si="38"/>
        <v>194.23659910000003</v>
      </c>
      <c r="L101" s="353"/>
    </row>
    <row r="102" spans="1:12">
      <c r="A102" s="420" t="s">
        <v>1373</v>
      </c>
      <c r="B102" s="615" t="s">
        <v>1462</v>
      </c>
      <c r="C102" s="616"/>
      <c r="D102" s="617"/>
      <c r="E102" s="440">
        <v>7.3999999999999996E-2</v>
      </c>
      <c r="F102" s="441">
        <f>$E$102*(F98+F101)</f>
        <v>1501.2559453885003</v>
      </c>
      <c r="G102" s="441">
        <f t="shared" ref="G102:K102" si="39">$E$102*(G98+G101)</f>
        <v>580.61921967632327</v>
      </c>
      <c r="H102" s="441">
        <f>$E$102*(H98+H101)</f>
        <v>489.3447546211292</v>
      </c>
      <c r="I102" s="441">
        <f t="shared" si="39"/>
        <v>495.19104642116667</v>
      </c>
      <c r="J102" s="441">
        <f>$E$102*(J98+J101)</f>
        <v>404.0279039661666</v>
      </c>
      <c r="K102" s="441">
        <f t="shared" si="39"/>
        <v>301.84367500140002</v>
      </c>
      <c r="L102" s="353"/>
    </row>
    <row r="103" spans="1:12">
      <c r="A103" s="420"/>
      <c r="B103" s="437" t="s">
        <v>1463</v>
      </c>
      <c r="C103" s="438" t="s">
        <v>1464</v>
      </c>
      <c r="D103" s="439"/>
      <c r="E103" s="442">
        <f>1-(E104)</f>
        <v>0.94350000000000001</v>
      </c>
      <c r="F103" s="441">
        <f>(F98+F101+F102)/$E$103</f>
        <v>23093.268098186014</v>
      </c>
      <c r="G103" s="441">
        <f t="shared" ref="G103:K103" si="40">(G98+G101+G102)/$E$103</f>
        <v>8931.45192472495</v>
      </c>
      <c r="H103" s="441">
        <f>(H98+H101+H102)/$E$103</f>
        <v>7527.4103963547568</v>
      </c>
      <c r="I103" s="441">
        <f t="shared" si="40"/>
        <v>7617.3417530519355</v>
      </c>
      <c r="J103" s="441">
        <f t="shared" si="40"/>
        <v>6215.0126592999459</v>
      </c>
      <c r="K103" s="441">
        <f t="shared" si="40"/>
        <v>4643.1502449405416</v>
      </c>
      <c r="L103" s="353"/>
    </row>
    <row r="104" spans="1:12">
      <c r="A104" s="420" t="s">
        <v>1376</v>
      </c>
      <c r="B104" s="536" t="s">
        <v>1465</v>
      </c>
      <c r="C104" s="537"/>
      <c r="D104" s="538"/>
      <c r="E104" s="443">
        <f>E105+E106+E107</f>
        <v>5.6499999999999995E-2</v>
      </c>
      <c r="F104" s="444"/>
      <c r="G104" s="444"/>
      <c r="H104" s="444"/>
      <c r="I104" s="444"/>
      <c r="J104" s="444"/>
      <c r="K104" s="444"/>
      <c r="L104" s="353"/>
    </row>
    <row r="105" spans="1:12">
      <c r="A105" s="420"/>
      <c r="B105" s="539" t="s">
        <v>1361</v>
      </c>
      <c r="C105" s="540"/>
      <c r="D105" s="541"/>
      <c r="E105" s="440">
        <v>0.03</v>
      </c>
      <c r="F105" s="445">
        <f>$E$105*F103</f>
        <v>692.79804294558039</v>
      </c>
      <c r="G105" s="445">
        <f t="shared" ref="G105:K105" si="41">$E$105*G103</f>
        <v>267.94355774174846</v>
      </c>
      <c r="H105" s="445">
        <f t="shared" si="41"/>
        <v>225.82231189064271</v>
      </c>
      <c r="I105" s="445">
        <f>$E$105*I103</f>
        <v>228.52025259155806</v>
      </c>
      <c r="J105" s="445">
        <f t="shared" si="41"/>
        <v>186.45037977899838</v>
      </c>
      <c r="K105" s="445">
        <f t="shared" si="41"/>
        <v>139.29450734821623</v>
      </c>
      <c r="L105" s="353"/>
    </row>
    <row r="106" spans="1:12">
      <c r="A106" s="422"/>
      <c r="B106" s="539" t="s">
        <v>1362</v>
      </c>
      <c r="C106" s="540"/>
      <c r="D106" s="541"/>
      <c r="E106" s="440">
        <v>6.4999999999999997E-3</v>
      </c>
      <c r="F106" s="445">
        <f>$E$106*F103</f>
        <v>150.1062426382091</v>
      </c>
      <c r="G106" s="445">
        <f t="shared" ref="G106:K106" si="42">$E$106*G103</f>
        <v>58.05443751071217</v>
      </c>
      <c r="H106" s="445">
        <f t="shared" si="42"/>
        <v>48.928167576305917</v>
      </c>
      <c r="I106" s="445">
        <f t="shared" si="42"/>
        <v>49.512721394837577</v>
      </c>
      <c r="J106" s="445">
        <f>$E$106*J103</f>
        <v>40.397582285449644</v>
      </c>
      <c r="K106" s="445">
        <f t="shared" si="42"/>
        <v>30.180476592113518</v>
      </c>
      <c r="L106" s="353"/>
    </row>
    <row r="107" spans="1:12">
      <c r="A107" s="420"/>
      <c r="B107" s="536" t="s">
        <v>1466</v>
      </c>
      <c r="C107" s="537"/>
      <c r="D107" s="538"/>
      <c r="E107" s="440">
        <v>0.02</v>
      </c>
      <c r="F107" s="445">
        <f>$E$107*F103</f>
        <v>461.86536196372026</v>
      </c>
      <c r="G107" s="445">
        <f t="shared" ref="G107:K107" si="43">$E$107*G103</f>
        <v>178.62903849449901</v>
      </c>
      <c r="H107" s="445">
        <f t="shared" si="43"/>
        <v>150.54820792709515</v>
      </c>
      <c r="I107" s="445">
        <f>$E$107*I103</f>
        <v>152.34683506103872</v>
      </c>
      <c r="J107" s="445">
        <f t="shared" si="43"/>
        <v>124.30025318599893</v>
      </c>
      <c r="K107" s="445">
        <f t="shared" si="43"/>
        <v>92.863004898810829</v>
      </c>
      <c r="L107" s="353"/>
    </row>
    <row r="108" spans="1:12" ht="23.25" customHeight="1" thickBot="1">
      <c r="A108" s="426"/>
      <c r="B108" s="542" t="s">
        <v>1467</v>
      </c>
      <c r="C108" s="543"/>
      <c r="D108" s="544"/>
      <c r="E108" s="446"/>
      <c r="F108" s="447">
        <f>F101+F102+F106+F107+F105</f>
        <v>3772.0847598526771</v>
      </c>
      <c r="G108" s="447">
        <f t="shared" ref="G108:I108" si="44">G101+G102+G106+G107+G105</f>
        <v>1458.8750949138384</v>
      </c>
      <c r="H108" s="447">
        <f t="shared" si="44"/>
        <v>1229.5371065075342</v>
      </c>
      <c r="I108" s="447">
        <f t="shared" si="44"/>
        <v>1244.2266124963789</v>
      </c>
      <c r="J108" s="447">
        <f>J101+J102+J106+J107+J105</f>
        <v>1015.1683354110579</v>
      </c>
      <c r="K108" s="447">
        <f>K101+K102+K106+K107+K105</f>
        <v>758.41826294054067</v>
      </c>
      <c r="L108" s="353"/>
    </row>
    <row r="109" spans="1:12" ht="16.5" thickBot="1">
      <c r="A109" s="412"/>
      <c r="B109" s="345"/>
      <c r="C109" s="345"/>
      <c r="D109" s="345"/>
      <c r="E109" s="448"/>
      <c r="F109" s="353"/>
      <c r="G109" s="353"/>
      <c r="H109" s="353"/>
      <c r="I109" s="353"/>
      <c r="J109" s="353"/>
      <c r="K109" s="353"/>
      <c r="L109" s="353"/>
    </row>
    <row r="110" spans="1:12" ht="20.100000000000001" customHeight="1" thickBot="1">
      <c r="A110" s="527" t="s">
        <v>1468</v>
      </c>
      <c r="B110" s="528"/>
      <c r="C110" s="528"/>
      <c r="D110" s="528"/>
      <c r="E110" s="528"/>
      <c r="F110" s="528"/>
      <c r="G110" s="528"/>
      <c r="H110" s="528"/>
      <c r="I110" s="528"/>
      <c r="J110" s="528"/>
      <c r="K110" s="529"/>
      <c r="L110" s="353"/>
    </row>
    <row r="111" spans="1:12" ht="36.75" customHeight="1">
      <c r="A111" s="449"/>
      <c r="B111" s="608" t="s">
        <v>1469</v>
      </c>
      <c r="C111" s="608"/>
      <c r="D111" s="608"/>
      <c r="E111" s="608"/>
      <c r="F111" s="450" t="s">
        <v>1388</v>
      </c>
      <c r="G111" s="450" t="s">
        <v>1389</v>
      </c>
      <c r="H111" s="450" t="s">
        <v>1390</v>
      </c>
      <c r="I111" s="450" t="s">
        <v>1391</v>
      </c>
      <c r="J111" s="450" t="s">
        <v>1392</v>
      </c>
      <c r="K111" s="451" t="s">
        <v>1393</v>
      </c>
      <c r="L111" s="353"/>
    </row>
    <row r="112" spans="1:12" ht="20.100000000000001" customHeight="1">
      <c r="A112" s="452">
        <v>1</v>
      </c>
      <c r="B112" s="594" t="s">
        <v>1394</v>
      </c>
      <c r="C112" s="594"/>
      <c r="D112" s="594"/>
      <c r="E112" s="594"/>
      <c r="F112" s="453">
        <f t="shared" ref="F112:K112" si="45">F32</f>
        <v>10302</v>
      </c>
      <c r="G112" s="453">
        <f t="shared" si="45"/>
        <v>3515.48</v>
      </c>
      <c r="H112" s="453">
        <f t="shared" si="45"/>
        <v>2835.55</v>
      </c>
      <c r="I112" s="453">
        <f t="shared" si="45"/>
        <v>2860</v>
      </c>
      <c r="J112" s="453">
        <f t="shared" si="45"/>
        <v>2200</v>
      </c>
      <c r="K112" s="454">
        <f t="shared" si="45"/>
        <v>1438.8</v>
      </c>
      <c r="L112" s="353"/>
    </row>
    <row r="113" spans="1:12" ht="20.100000000000001" customHeight="1">
      <c r="A113" s="452">
        <v>2</v>
      </c>
      <c r="B113" s="594" t="s">
        <v>1405</v>
      </c>
      <c r="C113" s="594"/>
      <c r="D113" s="594"/>
      <c r="E113" s="594"/>
      <c r="F113" s="453">
        <f t="shared" ref="F113:K113" si="46">F60</f>
        <v>6707.9324999999999</v>
      </c>
      <c r="G113" s="453">
        <f t="shared" si="46"/>
        <v>2798.9732666666669</v>
      </c>
      <c r="H113" s="453">
        <f t="shared" si="46"/>
        <v>2456.7418333333335</v>
      </c>
      <c r="I113" s="453">
        <f t="shared" si="46"/>
        <v>2502.0483333333332</v>
      </c>
      <c r="J113" s="453">
        <f t="shared" si="46"/>
        <v>2136.8483333333334</v>
      </c>
      <c r="K113" s="454">
        <f t="shared" si="46"/>
        <v>1753.711</v>
      </c>
      <c r="L113" s="353"/>
    </row>
    <row r="114" spans="1:12" ht="20.100000000000001" customHeight="1">
      <c r="A114" s="452">
        <v>3</v>
      </c>
      <c r="B114" s="594" t="s">
        <v>1430</v>
      </c>
      <c r="C114" s="594"/>
      <c r="D114" s="594"/>
      <c r="E114" s="594"/>
      <c r="F114" s="453">
        <f>F70</f>
        <v>775.68336666666676</v>
      </c>
      <c r="G114" s="453">
        <f t="shared" ref="G114:I114" si="47">G70</f>
        <v>264.69611355555554</v>
      </c>
      <c r="H114" s="453">
        <f t="shared" si="47"/>
        <v>213.50116194444445</v>
      </c>
      <c r="I114" s="453">
        <f t="shared" si="47"/>
        <v>215.34211111111114</v>
      </c>
      <c r="J114" s="453">
        <f>J70</f>
        <v>165.6477777777778</v>
      </c>
      <c r="K114" s="454">
        <f>K70</f>
        <v>108.33364666666668</v>
      </c>
      <c r="L114" s="353"/>
    </row>
    <row r="115" spans="1:12" ht="20.100000000000001" customHeight="1">
      <c r="A115" s="452">
        <v>4</v>
      </c>
      <c r="B115" s="594" t="s">
        <v>1437</v>
      </c>
      <c r="C115" s="594"/>
      <c r="D115" s="594"/>
      <c r="E115" s="594"/>
      <c r="F115" s="453">
        <f>F89</f>
        <v>1535.567471666667</v>
      </c>
      <c r="G115" s="453">
        <f t="shared" ref="G115:J115" si="48">G89</f>
        <v>524.00084792222231</v>
      </c>
      <c r="H115" s="453">
        <f t="shared" si="48"/>
        <v>422.65369290277783</v>
      </c>
      <c r="I115" s="453">
        <f t="shared" si="48"/>
        <v>426.29809444444436</v>
      </c>
      <c r="J115" s="453">
        <f t="shared" si="48"/>
        <v>327.92161111111108</v>
      </c>
      <c r="K115" s="454">
        <f>K89</f>
        <v>214.46073366666667</v>
      </c>
      <c r="L115" s="353"/>
    </row>
    <row r="116" spans="1:12" s="280" customFormat="1" ht="20.100000000000001" customHeight="1">
      <c r="A116" s="452">
        <v>5</v>
      </c>
      <c r="B116" s="594" t="s">
        <v>1453</v>
      </c>
      <c r="C116" s="594"/>
      <c r="D116" s="594"/>
      <c r="E116" s="594"/>
      <c r="F116" s="453">
        <f>F96</f>
        <v>0</v>
      </c>
      <c r="G116" s="453">
        <f t="shared" ref="G116:J116" si="49">G96</f>
        <v>369.42660166666667</v>
      </c>
      <c r="H116" s="453">
        <f t="shared" si="49"/>
        <v>369.42660166666667</v>
      </c>
      <c r="I116" s="453">
        <f t="shared" si="49"/>
        <v>369.42660166666667</v>
      </c>
      <c r="J116" s="453">
        <f t="shared" si="49"/>
        <v>369.42660166666667</v>
      </c>
      <c r="K116" s="454">
        <f>K96</f>
        <v>369.42660166666667</v>
      </c>
      <c r="L116" s="353"/>
    </row>
    <row r="117" spans="1:12" s="280" customFormat="1" ht="20.100000000000001" customHeight="1" thickBot="1">
      <c r="A117" s="455">
        <v>6</v>
      </c>
      <c r="B117" s="522" t="s">
        <v>1460</v>
      </c>
      <c r="C117" s="522"/>
      <c r="D117" s="522"/>
      <c r="E117" s="522"/>
      <c r="F117" s="456">
        <f>F108</f>
        <v>3772.0847598526771</v>
      </c>
      <c r="G117" s="456">
        <f t="shared" ref="G117:J117" si="50">G108</f>
        <v>1458.8750949138384</v>
      </c>
      <c r="H117" s="456">
        <f t="shared" si="50"/>
        <v>1229.5371065075342</v>
      </c>
      <c r="I117" s="456">
        <f t="shared" si="50"/>
        <v>1244.2266124963789</v>
      </c>
      <c r="J117" s="456">
        <f t="shared" si="50"/>
        <v>1015.1683354110579</v>
      </c>
      <c r="K117" s="457">
        <f>K108</f>
        <v>758.41826294054067</v>
      </c>
      <c r="L117" s="353"/>
    </row>
    <row r="118" spans="1:12" s="280" customFormat="1" ht="20.100000000000001" customHeight="1" thickBot="1">
      <c r="A118" s="458"/>
      <c r="B118" s="549" t="s">
        <v>1470</v>
      </c>
      <c r="C118" s="550"/>
      <c r="D118" s="550"/>
      <c r="E118" s="551"/>
      <c r="F118" s="459">
        <f>SUM(F112:F117)</f>
        <v>23093.26809818601</v>
      </c>
      <c r="G118" s="459">
        <f t="shared" ref="G118:K118" si="51">SUM(G112:G117)</f>
        <v>8931.4519247249518</v>
      </c>
      <c r="H118" s="459">
        <f t="shared" si="51"/>
        <v>7527.4103963547568</v>
      </c>
      <c r="I118" s="459">
        <f>SUM(I112:I117)</f>
        <v>7617.3417530519346</v>
      </c>
      <c r="J118" s="459">
        <f t="shared" si="51"/>
        <v>6215.0126592999477</v>
      </c>
      <c r="K118" s="459">
        <f t="shared" si="51"/>
        <v>4643.1502449405407</v>
      </c>
      <c r="L118" s="353"/>
    </row>
    <row r="119" spans="1:12" s="280" customFormat="1" ht="9" customHeight="1" thickBot="1">
      <c r="A119" s="412"/>
      <c r="B119" s="460"/>
      <c r="C119" s="460"/>
      <c r="D119" s="460"/>
      <c r="E119" s="460"/>
      <c r="F119" s="363"/>
      <c r="G119" s="363"/>
      <c r="H119" s="363"/>
      <c r="I119" s="363"/>
      <c r="J119" s="363"/>
      <c r="K119" s="363"/>
      <c r="L119" s="353"/>
    </row>
    <row r="120" spans="1:12" s="280" customFormat="1" ht="19.5" customHeight="1">
      <c r="A120" s="599" t="s">
        <v>1471</v>
      </c>
      <c r="B120" s="600"/>
      <c r="C120" s="600"/>
      <c r="D120" s="600"/>
      <c r="E120" s="600"/>
      <c r="F120" s="600"/>
      <c r="G120" s="600"/>
      <c r="H120" s="600"/>
      <c r="I120" s="600"/>
      <c r="J120" s="600"/>
      <c r="K120" s="601"/>
      <c r="L120" s="353"/>
    </row>
    <row r="121" spans="1:12" s="280" customFormat="1" ht="19.5" customHeight="1">
      <c r="A121" s="461"/>
      <c r="B121" s="598"/>
      <c r="C121" s="598"/>
      <c r="D121" s="598"/>
      <c r="E121" s="598"/>
      <c r="F121" s="462" t="s">
        <v>1388</v>
      </c>
      <c r="G121" s="462" t="s">
        <v>1389</v>
      </c>
      <c r="H121" s="462" t="s">
        <v>1390</v>
      </c>
      <c r="I121" s="462" t="s">
        <v>1391</v>
      </c>
      <c r="J121" s="462" t="s">
        <v>1392</v>
      </c>
      <c r="K121" s="463" t="s">
        <v>1393</v>
      </c>
      <c r="L121" s="353"/>
    </row>
    <row r="122" spans="1:12" s="280" customFormat="1" ht="19.5" customHeight="1">
      <c r="A122" s="464"/>
      <c r="B122" s="593" t="s">
        <v>1472</v>
      </c>
      <c r="C122" s="593"/>
      <c r="D122" s="593"/>
      <c r="E122" s="593"/>
      <c r="F122" s="465">
        <f>F118</f>
        <v>23093.26809818601</v>
      </c>
      <c r="G122" s="465">
        <f t="shared" ref="G122:K122" si="52">G118</f>
        <v>8931.4519247249518</v>
      </c>
      <c r="H122" s="465">
        <f t="shared" si="52"/>
        <v>7527.4103963547568</v>
      </c>
      <c r="I122" s="465">
        <f t="shared" si="52"/>
        <v>7617.3417530519346</v>
      </c>
      <c r="J122" s="465">
        <f t="shared" si="52"/>
        <v>6215.0126592999477</v>
      </c>
      <c r="K122" s="466">
        <f t="shared" si="52"/>
        <v>4643.1502449405407</v>
      </c>
      <c r="L122" s="353"/>
    </row>
    <row r="123" spans="1:12" ht="19.5" customHeight="1" thickBot="1">
      <c r="A123" s="467"/>
      <c r="B123" s="521" t="s">
        <v>1473</v>
      </c>
      <c r="C123" s="521"/>
      <c r="D123" s="521"/>
      <c r="E123" s="521"/>
      <c r="F123" s="518">
        <f>SUM(F122:K122)</f>
        <v>58027.635076558145</v>
      </c>
      <c r="G123" s="519"/>
      <c r="H123" s="519"/>
      <c r="I123" s="519"/>
      <c r="J123" s="519"/>
      <c r="K123" s="520"/>
    </row>
    <row r="124" spans="1:12" ht="16.5" thickBot="1">
      <c r="B124" s="521" t="s">
        <v>1474</v>
      </c>
      <c r="C124" s="521"/>
      <c r="D124" s="521"/>
      <c r="E124" s="521"/>
      <c r="F124" s="518">
        <f>F123*12</f>
        <v>696331.62091869768</v>
      </c>
      <c r="G124" s="519"/>
      <c r="H124" s="519"/>
      <c r="I124" s="519"/>
      <c r="J124" s="519"/>
      <c r="K124" s="520"/>
    </row>
    <row r="126" spans="1:12">
      <c r="B126" s="639" t="s">
        <v>1489</v>
      </c>
      <c r="C126" s="639"/>
      <c r="D126" s="639"/>
      <c r="E126" s="639" t="s">
        <v>1490</v>
      </c>
      <c r="F126" s="112" t="s">
        <v>1486</v>
      </c>
    </row>
    <row r="127" spans="1:12">
      <c r="B127" s="639"/>
      <c r="C127" s="639"/>
      <c r="D127" s="639"/>
      <c r="E127" s="639"/>
      <c r="F127" s="279">
        <f>F122/220</f>
        <v>104.96940044630004</v>
      </c>
    </row>
    <row r="128" spans="1:12">
      <c r="B128" s="638" t="s">
        <v>1484</v>
      </c>
      <c r="C128" s="638"/>
      <c r="D128" s="638"/>
      <c r="E128" s="124" t="s">
        <v>1485</v>
      </c>
      <c r="F128" s="279">
        <f>F127*40</f>
        <v>4198.776017852002</v>
      </c>
    </row>
    <row r="129" spans="2:13">
      <c r="B129" s="638" t="s">
        <v>1487</v>
      </c>
      <c r="C129" s="638"/>
      <c r="D129" s="638"/>
      <c r="E129" s="124" t="s">
        <v>1488</v>
      </c>
      <c r="F129" s="279">
        <f>F127*15</f>
        <v>1574.5410066945005</v>
      </c>
    </row>
    <row r="130" spans="2:13">
      <c r="B130" s="638" t="s">
        <v>1491</v>
      </c>
      <c r="C130" s="638"/>
      <c r="D130" s="638"/>
      <c r="E130" s="638"/>
      <c r="F130" s="481">
        <f>F128+F129</f>
        <v>5773.3170245465026</v>
      </c>
    </row>
    <row r="131" spans="2:13" ht="16.5" thickBot="1">
      <c r="B131" s="521" t="s">
        <v>1473</v>
      </c>
      <c r="C131" s="521"/>
      <c r="D131" s="521"/>
      <c r="E131" s="521"/>
      <c r="F131" s="518">
        <f>F123+F130</f>
        <v>63800.952101104645</v>
      </c>
      <c r="G131" s="519"/>
      <c r="H131" s="519"/>
      <c r="I131" s="519"/>
      <c r="J131" s="519"/>
      <c r="K131" s="520"/>
      <c r="M131" s="339">
        <f>F131</f>
        <v>63800.952101104645</v>
      </c>
    </row>
    <row r="132" spans="2:13" ht="16.5" thickBot="1">
      <c r="B132" s="521" t="s">
        <v>1474</v>
      </c>
      <c r="C132" s="521"/>
      <c r="D132" s="521"/>
      <c r="E132" s="521"/>
      <c r="F132" s="518">
        <f>F131*12</f>
        <v>765611.42521325569</v>
      </c>
      <c r="G132" s="519"/>
      <c r="H132" s="519"/>
      <c r="I132" s="519"/>
      <c r="J132" s="519"/>
      <c r="K132" s="520"/>
      <c r="M132" s="735">
        <f>F130+F122</f>
        <v>28866.585122732511</v>
      </c>
    </row>
    <row r="133" spans="2:13" ht="16.5" thickBot="1">
      <c r="B133" s="521" t="s">
        <v>1551</v>
      </c>
      <c r="C133" s="521"/>
      <c r="D133" s="521"/>
      <c r="E133" s="521"/>
      <c r="F133" s="518">
        <f>F132*2</f>
        <v>1531222.8504265114</v>
      </c>
      <c r="G133" s="519"/>
      <c r="H133" s="519"/>
      <c r="I133" s="519"/>
      <c r="J133" s="519"/>
      <c r="K133" s="520"/>
    </row>
  </sheetData>
  <mergeCells count="120">
    <mergeCell ref="B133:E133"/>
    <mergeCell ref="F133:K133"/>
    <mergeCell ref="B12:E12"/>
    <mergeCell ref="B13:E13"/>
    <mergeCell ref="B14:E14"/>
    <mergeCell ref="B15:E15"/>
    <mergeCell ref="A16:K16"/>
    <mergeCell ref="A10:K10"/>
    <mergeCell ref="A7:K7"/>
    <mergeCell ref="A8:K8"/>
    <mergeCell ref="A9:K9"/>
    <mergeCell ref="B131:E131"/>
    <mergeCell ref="F131:K131"/>
    <mergeCell ref="B132:E132"/>
    <mergeCell ref="F132:K132"/>
    <mergeCell ref="B128:D128"/>
    <mergeCell ref="B129:D129"/>
    <mergeCell ref="B126:D127"/>
    <mergeCell ref="E126:E127"/>
    <mergeCell ref="B130:E130"/>
    <mergeCell ref="B107:D107"/>
    <mergeCell ref="B69:D69"/>
    <mergeCell ref="B51:D51"/>
    <mergeCell ref="B60:D60"/>
    <mergeCell ref="B102:D102"/>
    <mergeCell ref="B108:D108"/>
    <mergeCell ref="B106:D106"/>
    <mergeCell ref="B116:E116"/>
    <mergeCell ref="B79:D79"/>
    <mergeCell ref="B113:E113"/>
    <mergeCell ref="B101:D101"/>
    <mergeCell ref="B104:D104"/>
    <mergeCell ref="B98:D98"/>
    <mergeCell ref="B82:D82"/>
    <mergeCell ref="B112:E112"/>
    <mergeCell ref="B95:D95"/>
    <mergeCell ref="B70:D70"/>
    <mergeCell ref="B75:D75"/>
    <mergeCell ref="B76:D76"/>
    <mergeCell ref="B121:E121"/>
    <mergeCell ref="A120:K120"/>
    <mergeCell ref="B80:D80"/>
    <mergeCell ref="B81:D81"/>
    <mergeCell ref="B105:D105"/>
    <mergeCell ref="B89:D89"/>
    <mergeCell ref="B111:E111"/>
    <mergeCell ref="B100:D100"/>
    <mergeCell ref="B66:D66"/>
    <mergeCell ref="B67:D67"/>
    <mergeCell ref="B68:D68"/>
    <mergeCell ref="B55:D55"/>
    <mergeCell ref="B56:D56"/>
    <mergeCell ref="B38:D38"/>
    <mergeCell ref="B43:D43"/>
    <mergeCell ref="B39:D39"/>
    <mergeCell ref="B34:D34"/>
    <mergeCell ref="B40:D40"/>
    <mergeCell ref="B48:D48"/>
    <mergeCell ref="B49:D49"/>
    <mergeCell ref="B50:D50"/>
    <mergeCell ref="B44:D44"/>
    <mergeCell ref="B45:D45"/>
    <mergeCell ref="B46:D46"/>
    <mergeCell ref="B47:D47"/>
    <mergeCell ref="B37:D37"/>
    <mergeCell ref="B42:D42"/>
    <mergeCell ref="B53:D53"/>
    <mergeCell ref="B54:D54"/>
    <mergeCell ref="B57:D57"/>
    <mergeCell ref="B58:D58"/>
    <mergeCell ref="B36:D36"/>
    <mergeCell ref="B18:E18"/>
    <mergeCell ref="B19:E19"/>
    <mergeCell ref="B20:E20"/>
    <mergeCell ref="B21:E21"/>
    <mergeCell ref="B22:E22"/>
    <mergeCell ref="F18:K18"/>
    <mergeCell ref="B65:D65"/>
    <mergeCell ref="B64:D64"/>
    <mergeCell ref="B63:D63"/>
    <mergeCell ref="B29:D29"/>
    <mergeCell ref="B30:D30"/>
    <mergeCell ref="B31:D31"/>
    <mergeCell ref="B32:D32"/>
    <mergeCell ref="A24:E24"/>
    <mergeCell ref="A23:K23"/>
    <mergeCell ref="A2:K2"/>
    <mergeCell ref="A1:K1"/>
    <mergeCell ref="A11:K11"/>
    <mergeCell ref="A4:K4"/>
    <mergeCell ref="A5:K5"/>
    <mergeCell ref="B28:D28"/>
    <mergeCell ref="B25:D25"/>
    <mergeCell ref="B26:D26"/>
    <mergeCell ref="A17:K17"/>
    <mergeCell ref="B27:D27"/>
    <mergeCell ref="A6:K6"/>
    <mergeCell ref="F124:K124"/>
    <mergeCell ref="B124:E124"/>
    <mergeCell ref="B117:E117"/>
    <mergeCell ref="B72:K72"/>
    <mergeCell ref="B74:D74"/>
    <mergeCell ref="A110:K110"/>
    <mergeCell ref="B91:D91"/>
    <mergeCell ref="B92:D92"/>
    <mergeCell ref="B93:D93"/>
    <mergeCell ref="B94:D94"/>
    <mergeCell ref="B96:D96"/>
    <mergeCell ref="B84:D84"/>
    <mergeCell ref="B85:D85"/>
    <mergeCell ref="B86:D86"/>
    <mergeCell ref="B87:D87"/>
    <mergeCell ref="B77:D77"/>
    <mergeCell ref="B78:D78"/>
    <mergeCell ref="B118:E118"/>
    <mergeCell ref="F123:K123"/>
    <mergeCell ref="B122:E122"/>
    <mergeCell ref="B114:E114"/>
    <mergeCell ref="B115:E115"/>
    <mergeCell ref="B123:E1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131"/>
  <sheetViews>
    <sheetView zoomScale="115" zoomScaleNormal="115" workbookViewId="0">
      <selection activeCell="C17" sqref="C17"/>
    </sheetView>
  </sheetViews>
  <sheetFormatPr defaultRowHeight="15"/>
  <cols>
    <col min="2" max="2" width="59.5703125" customWidth="1"/>
    <col min="3" max="3" width="14" customWidth="1"/>
    <col min="4" max="4" width="12.85546875" customWidth="1"/>
    <col min="5" max="5" width="11" customWidth="1"/>
    <col min="6" max="6" width="11.5703125" style="281" customWidth="1"/>
    <col min="7" max="7" width="12.140625" style="281" customWidth="1"/>
    <col min="8" max="8" width="13.7109375" customWidth="1"/>
    <col min="9" max="9" width="14.7109375" customWidth="1"/>
    <col min="10" max="10" width="16.140625" customWidth="1"/>
    <col min="11" max="11" width="13.140625" customWidth="1"/>
  </cols>
  <sheetData>
    <row r="2" spans="2:12" ht="33.75" customHeight="1">
      <c r="B2" s="642" t="s">
        <v>0</v>
      </c>
      <c r="C2" s="642"/>
      <c r="D2" s="642"/>
      <c r="E2" s="642"/>
      <c r="F2" s="642"/>
      <c r="G2" s="642"/>
      <c r="H2" s="642"/>
      <c r="I2" s="642"/>
      <c r="J2" s="642"/>
    </row>
    <row r="3" spans="2:12" ht="15.75" customHeight="1">
      <c r="B3" s="661" t="s">
        <v>1</v>
      </c>
      <c r="C3" s="661" t="s">
        <v>2</v>
      </c>
      <c r="D3" s="654" t="s">
        <v>3</v>
      </c>
      <c r="E3" s="656" t="s">
        <v>4</v>
      </c>
      <c r="F3" s="657"/>
      <c r="G3" s="657"/>
      <c r="H3" s="658"/>
      <c r="I3" s="659" t="s">
        <v>5</v>
      </c>
      <c r="J3" s="659" t="s">
        <v>6</v>
      </c>
    </row>
    <row r="4" spans="2:12" ht="31.5">
      <c r="B4" s="661"/>
      <c r="C4" s="661"/>
      <c r="D4" s="653"/>
      <c r="E4" s="662" t="s">
        <v>7</v>
      </c>
      <c r="F4" s="663"/>
      <c r="G4" s="8" t="s">
        <v>8</v>
      </c>
      <c r="H4" s="285" t="s">
        <v>9</v>
      </c>
      <c r="I4" s="647"/>
      <c r="J4" s="647"/>
      <c r="L4" s="286"/>
    </row>
    <row r="5" spans="2:12" ht="15.75">
      <c r="B5" s="3" t="s">
        <v>10</v>
      </c>
      <c r="C5" s="1">
        <v>1</v>
      </c>
      <c r="D5" s="1" t="s">
        <v>11</v>
      </c>
      <c r="E5" s="89">
        <v>5318</v>
      </c>
      <c r="F5" s="287">
        <v>17.98</v>
      </c>
      <c r="G5" s="16">
        <v>55.42</v>
      </c>
      <c r="H5" s="15">
        <v>21.69</v>
      </c>
      <c r="I5" s="279">
        <f>AVERAGE(F5:H5)</f>
        <v>31.696666666666669</v>
      </c>
      <c r="J5" s="11">
        <f t="shared" ref="J5:J35" si="0">C5*I5</f>
        <v>31.696666666666669</v>
      </c>
    </row>
    <row r="6" spans="2:12" ht="15.75">
      <c r="B6" s="3" t="s">
        <v>12</v>
      </c>
      <c r="C6" s="1">
        <v>3</v>
      </c>
      <c r="D6" s="1" t="s">
        <v>3</v>
      </c>
      <c r="E6" s="89">
        <v>3143</v>
      </c>
      <c r="F6" s="287">
        <v>8.9600000000000009</v>
      </c>
      <c r="G6" s="16"/>
      <c r="H6" s="16">
        <v>7.88</v>
      </c>
      <c r="I6" s="279">
        <f t="shared" ref="I6:I34" si="1">AVERAGE(F6:H6)</f>
        <v>8.42</v>
      </c>
      <c r="J6" s="11">
        <f t="shared" si="0"/>
        <v>25.259999999999998</v>
      </c>
    </row>
    <row r="7" spans="2:12" ht="15.75">
      <c r="B7" s="3" t="s">
        <v>13</v>
      </c>
      <c r="C7" s="1">
        <v>10</v>
      </c>
      <c r="D7" s="1" t="s">
        <v>11</v>
      </c>
      <c r="E7" s="89"/>
      <c r="F7" s="287"/>
      <c r="G7" s="16"/>
      <c r="H7" s="16">
        <v>6.3</v>
      </c>
      <c r="I7" s="279">
        <f t="shared" si="1"/>
        <v>6.3</v>
      </c>
      <c r="J7" s="11">
        <f t="shared" si="0"/>
        <v>63</v>
      </c>
    </row>
    <row r="8" spans="2:12" ht="15.75">
      <c r="B8" s="3" t="s">
        <v>14</v>
      </c>
      <c r="C8" s="1">
        <v>2</v>
      </c>
      <c r="D8" s="1" t="s">
        <v>15</v>
      </c>
      <c r="E8" s="89">
        <v>345</v>
      </c>
      <c r="F8" s="287">
        <v>27.91</v>
      </c>
      <c r="G8" s="16"/>
      <c r="H8" s="16"/>
      <c r="I8" s="279">
        <f t="shared" si="1"/>
        <v>27.91</v>
      </c>
      <c r="J8" s="11">
        <f t="shared" si="0"/>
        <v>55.82</v>
      </c>
    </row>
    <row r="9" spans="2:12" ht="15.75">
      <c r="B9" s="3" t="s">
        <v>16</v>
      </c>
      <c r="C9" s="296">
        <v>0.3</v>
      </c>
      <c r="D9" s="296" t="s">
        <v>15</v>
      </c>
      <c r="E9" s="89">
        <v>44396</v>
      </c>
      <c r="F9" s="287">
        <v>45.44</v>
      </c>
      <c r="G9" s="16">
        <v>25.6</v>
      </c>
      <c r="H9" s="16"/>
      <c r="I9" s="279">
        <f t="shared" si="1"/>
        <v>35.519999999999996</v>
      </c>
      <c r="J9" s="11">
        <f t="shared" si="0"/>
        <v>10.655999999999999</v>
      </c>
    </row>
    <row r="10" spans="2:12" ht="15.75">
      <c r="B10" s="3" t="s">
        <v>17</v>
      </c>
      <c r="C10" s="1">
        <v>1</v>
      </c>
      <c r="D10" s="1" t="s">
        <v>3</v>
      </c>
      <c r="E10" s="89"/>
      <c r="F10" s="287"/>
      <c r="G10" s="16"/>
      <c r="H10" s="16">
        <v>25.4</v>
      </c>
      <c r="I10" s="279">
        <f t="shared" si="1"/>
        <v>25.4</v>
      </c>
      <c r="J10" s="11">
        <f t="shared" si="0"/>
        <v>25.4</v>
      </c>
    </row>
    <row r="11" spans="2:12" ht="15.75">
      <c r="B11" s="3" t="s">
        <v>18</v>
      </c>
      <c r="C11" s="1">
        <v>1</v>
      </c>
      <c r="D11" s="1" t="s">
        <v>1483</v>
      </c>
      <c r="E11" s="89"/>
      <c r="F11" s="287"/>
      <c r="G11" s="16"/>
      <c r="H11" s="16">
        <v>22.96</v>
      </c>
      <c r="I11" s="279">
        <f t="shared" si="1"/>
        <v>22.96</v>
      </c>
      <c r="J11" s="11">
        <f t="shared" si="0"/>
        <v>22.96</v>
      </c>
    </row>
    <row r="12" spans="2:12" ht="15.75">
      <c r="B12" s="3" t="s">
        <v>19</v>
      </c>
      <c r="C12" s="1">
        <v>1</v>
      </c>
      <c r="D12" s="1" t="s">
        <v>11</v>
      </c>
      <c r="E12" s="89">
        <v>44329</v>
      </c>
      <c r="F12" s="287">
        <v>11.12</v>
      </c>
      <c r="G12" s="16">
        <f>1.49*2</f>
        <v>2.98</v>
      </c>
      <c r="H12" s="16">
        <v>2.02</v>
      </c>
      <c r="I12" s="279">
        <f t="shared" si="1"/>
        <v>5.373333333333334</v>
      </c>
      <c r="J12" s="11">
        <f t="shared" si="0"/>
        <v>5.373333333333334</v>
      </c>
    </row>
    <row r="13" spans="2:12" ht="15.75">
      <c r="B13" s="3" t="s">
        <v>20</v>
      </c>
      <c r="C13" s="1">
        <v>1</v>
      </c>
      <c r="D13" s="1" t="s">
        <v>15</v>
      </c>
      <c r="E13" s="89">
        <v>13</v>
      </c>
      <c r="F13" s="287">
        <v>15.24</v>
      </c>
      <c r="G13" s="16">
        <v>6.65</v>
      </c>
      <c r="H13" s="15">
        <v>19.690000000000001</v>
      </c>
      <c r="I13" s="279">
        <f t="shared" si="1"/>
        <v>13.86</v>
      </c>
      <c r="J13" s="11">
        <f t="shared" si="0"/>
        <v>13.86</v>
      </c>
    </row>
    <row r="14" spans="2:12" ht="15.75">
      <c r="B14" s="3" t="s">
        <v>21</v>
      </c>
      <c r="C14" s="1">
        <v>5</v>
      </c>
      <c r="D14" s="1" t="s">
        <v>3</v>
      </c>
      <c r="E14" s="89">
        <v>12815</v>
      </c>
      <c r="F14" s="287">
        <v>8.41</v>
      </c>
      <c r="G14" s="16">
        <v>9.89</v>
      </c>
      <c r="H14" s="15">
        <v>5.92</v>
      </c>
      <c r="I14" s="279">
        <f t="shared" si="1"/>
        <v>8.0733333333333324</v>
      </c>
      <c r="J14" s="11">
        <f t="shared" si="0"/>
        <v>40.36666666666666</v>
      </c>
    </row>
    <row r="15" spans="2:12" ht="15.75">
      <c r="B15" s="3" t="s">
        <v>22</v>
      </c>
      <c r="C15" s="1">
        <v>5</v>
      </c>
      <c r="D15" s="1" t="s">
        <v>3</v>
      </c>
      <c r="E15" s="89">
        <v>20111</v>
      </c>
      <c r="F15" s="287">
        <v>10.9</v>
      </c>
      <c r="G15" s="16"/>
      <c r="H15" s="16">
        <v>5.72</v>
      </c>
      <c r="I15" s="279">
        <f t="shared" si="1"/>
        <v>8.31</v>
      </c>
      <c r="J15" s="11">
        <f t="shared" si="0"/>
        <v>41.550000000000004</v>
      </c>
    </row>
    <row r="16" spans="2:12" ht="15.75">
      <c r="B16" s="3" t="s">
        <v>23</v>
      </c>
      <c r="C16" s="296">
        <v>10</v>
      </c>
      <c r="D16" s="296" t="s">
        <v>24</v>
      </c>
      <c r="E16" s="89">
        <v>404</v>
      </c>
      <c r="F16" s="287">
        <v>1.48</v>
      </c>
      <c r="G16" s="16"/>
      <c r="H16" s="16"/>
      <c r="I16" s="279">
        <f t="shared" si="1"/>
        <v>1.48</v>
      </c>
      <c r="J16" s="11">
        <f t="shared" si="0"/>
        <v>14.8</v>
      </c>
    </row>
    <row r="17" spans="2:10" ht="15.75">
      <c r="B17" s="3" t="s">
        <v>25</v>
      </c>
      <c r="C17" s="1">
        <v>5</v>
      </c>
      <c r="D17" s="1" t="s">
        <v>3</v>
      </c>
      <c r="E17" s="89">
        <v>13261</v>
      </c>
      <c r="F17" s="287">
        <v>2.34</v>
      </c>
      <c r="G17" s="16">
        <v>1.1299999999999999</v>
      </c>
      <c r="H17" s="15">
        <v>3.76</v>
      </c>
      <c r="I17" s="279">
        <f t="shared" si="1"/>
        <v>2.4099999999999997</v>
      </c>
      <c r="J17" s="11">
        <f t="shared" si="0"/>
        <v>12.049999999999999</v>
      </c>
    </row>
    <row r="18" spans="2:10" ht="15.75">
      <c r="B18" s="3" t="s">
        <v>26</v>
      </c>
      <c r="C18" s="1">
        <v>1</v>
      </c>
      <c r="D18" s="1" t="s">
        <v>15</v>
      </c>
      <c r="E18" s="89">
        <v>4229</v>
      </c>
      <c r="F18" s="287">
        <v>55.05</v>
      </c>
      <c r="G18" s="16">
        <v>29.12</v>
      </c>
      <c r="H18" s="16"/>
      <c r="I18" s="279">
        <f t="shared" si="1"/>
        <v>42.085000000000001</v>
      </c>
      <c r="J18" s="11">
        <f t="shared" si="0"/>
        <v>42.085000000000001</v>
      </c>
    </row>
    <row r="19" spans="2:10" ht="15.75">
      <c r="B19" s="3" t="s">
        <v>27</v>
      </c>
      <c r="C19" s="1">
        <v>5</v>
      </c>
      <c r="D19" s="1" t="s">
        <v>3</v>
      </c>
      <c r="E19" s="89">
        <v>38383</v>
      </c>
      <c r="F19" s="287">
        <v>2.0499999999999998</v>
      </c>
      <c r="G19" s="16">
        <v>0.55000000000000004</v>
      </c>
      <c r="H19" s="16">
        <v>2</v>
      </c>
      <c r="I19" s="279">
        <f t="shared" si="1"/>
        <v>1.5333333333333332</v>
      </c>
      <c r="J19" s="11">
        <f t="shared" si="0"/>
        <v>7.6666666666666661</v>
      </c>
    </row>
    <row r="20" spans="2:10" ht="15.75">
      <c r="B20" s="3" t="s">
        <v>28</v>
      </c>
      <c r="C20" s="1">
        <v>2</v>
      </c>
      <c r="D20" s="1" t="s">
        <v>3</v>
      </c>
      <c r="E20" s="89"/>
      <c r="F20" s="287"/>
      <c r="G20" s="16"/>
      <c r="H20" s="16">
        <v>25.49</v>
      </c>
      <c r="I20" s="279">
        <f t="shared" si="1"/>
        <v>25.49</v>
      </c>
      <c r="J20" s="11">
        <f t="shared" si="0"/>
        <v>50.98</v>
      </c>
    </row>
    <row r="21" spans="2:10" ht="15.75">
      <c r="B21" s="3" t="s">
        <v>29</v>
      </c>
      <c r="C21" s="1">
        <v>10</v>
      </c>
      <c r="D21" s="1" t="s">
        <v>30</v>
      </c>
      <c r="E21" s="89">
        <v>3777</v>
      </c>
      <c r="F21" s="287">
        <v>1.5</v>
      </c>
      <c r="G21" s="16"/>
      <c r="H21" s="16"/>
      <c r="I21" s="279">
        <f t="shared" si="1"/>
        <v>1.5</v>
      </c>
      <c r="J21" s="11">
        <f t="shared" si="0"/>
        <v>15</v>
      </c>
    </row>
    <row r="22" spans="2:10" ht="15.75">
      <c r="B22" s="3" t="s">
        <v>31</v>
      </c>
      <c r="C22" s="1">
        <v>5</v>
      </c>
      <c r="D22" s="1" t="s">
        <v>3</v>
      </c>
      <c r="E22" s="89"/>
      <c r="F22" s="287"/>
      <c r="G22" s="16"/>
      <c r="H22" s="16">
        <v>4.84</v>
      </c>
      <c r="I22" s="279">
        <f t="shared" si="1"/>
        <v>4.84</v>
      </c>
      <c r="J22" s="11">
        <f t="shared" si="0"/>
        <v>24.2</v>
      </c>
    </row>
    <row r="23" spans="2:10" ht="15.75">
      <c r="B23" s="3" t="s">
        <v>32</v>
      </c>
      <c r="C23" s="1">
        <v>50</v>
      </c>
      <c r="D23" s="1" t="s">
        <v>3</v>
      </c>
      <c r="E23" s="89">
        <v>39435</v>
      </c>
      <c r="F23" s="287">
        <v>0.12</v>
      </c>
      <c r="G23" s="16"/>
      <c r="H23" s="16"/>
      <c r="I23" s="279">
        <f t="shared" si="1"/>
        <v>0.12</v>
      </c>
      <c r="J23" s="11">
        <f t="shared" si="0"/>
        <v>6</v>
      </c>
    </row>
    <row r="24" spans="2:10" ht="15.75">
      <c r="B24" s="3" t="s">
        <v>33</v>
      </c>
      <c r="C24" s="1">
        <v>0.5</v>
      </c>
      <c r="D24" s="1" t="s">
        <v>15</v>
      </c>
      <c r="E24" s="89">
        <v>5068</v>
      </c>
      <c r="F24" s="287">
        <v>20.45</v>
      </c>
      <c r="G24" s="16">
        <v>21.72</v>
      </c>
      <c r="H24" s="16"/>
      <c r="I24" s="279">
        <f t="shared" si="1"/>
        <v>21.085000000000001</v>
      </c>
      <c r="J24" s="11">
        <f t="shared" si="0"/>
        <v>10.5425</v>
      </c>
    </row>
    <row r="25" spans="2:10" ht="15.75">
      <c r="B25" s="3" t="s">
        <v>34</v>
      </c>
      <c r="C25" s="1">
        <v>0.3</v>
      </c>
      <c r="D25" s="1" t="s">
        <v>15</v>
      </c>
      <c r="E25" s="89">
        <v>5104</v>
      </c>
      <c r="F25" s="287">
        <v>63.81</v>
      </c>
      <c r="G25" s="16"/>
      <c r="H25" s="16"/>
      <c r="I25" s="279">
        <f t="shared" si="1"/>
        <v>63.81</v>
      </c>
      <c r="J25" s="11">
        <f t="shared" si="0"/>
        <v>19.143000000000001</v>
      </c>
    </row>
    <row r="26" spans="2:10" ht="15.75">
      <c r="B26" s="3" t="s">
        <v>35</v>
      </c>
      <c r="C26" s="1">
        <v>1</v>
      </c>
      <c r="D26" s="1" t="s">
        <v>11</v>
      </c>
      <c r="E26" s="89"/>
      <c r="F26" s="287"/>
      <c r="G26" s="16"/>
      <c r="H26" s="16">
        <v>76.08</v>
      </c>
      <c r="I26" s="279">
        <f t="shared" si="1"/>
        <v>76.08</v>
      </c>
      <c r="J26" s="11">
        <f t="shared" si="0"/>
        <v>76.08</v>
      </c>
    </row>
    <row r="27" spans="2:10" ht="15.75">
      <c r="B27" s="3" t="s">
        <v>36</v>
      </c>
      <c r="C27" s="1">
        <v>2</v>
      </c>
      <c r="D27" s="1" t="s">
        <v>3</v>
      </c>
      <c r="E27" s="89">
        <v>38400</v>
      </c>
      <c r="F27" s="287">
        <v>15.96</v>
      </c>
      <c r="G27" s="16"/>
      <c r="H27" s="15">
        <v>15.04</v>
      </c>
      <c r="I27" s="279">
        <f t="shared" si="1"/>
        <v>15.5</v>
      </c>
      <c r="J27" s="11">
        <f t="shared" si="0"/>
        <v>31</v>
      </c>
    </row>
    <row r="28" spans="2:10" ht="15.75">
      <c r="B28" s="3" t="s">
        <v>37</v>
      </c>
      <c r="C28" s="1">
        <v>1</v>
      </c>
      <c r="D28" s="1" t="s">
        <v>3</v>
      </c>
      <c r="E28" s="89">
        <v>10</v>
      </c>
      <c r="F28" s="287">
        <v>10.119999999999999</v>
      </c>
      <c r="G28" s="16">
        <v>8.1</v>
      </c>
      <c r="H28" s="15"/>
      <c r="I28" s="279">
        <f t="shared" si="1"/>
        <v>9.11</v>
      </c>
      <c r="J28" s="11">
        <f t="shared" si="0"/>
        <v>9.11</v>
      </c>
    </row>
    <row r="29" spans="2:10" ht="15.75">
      <c r="B29" s="3" t="s">
        <v>38</v>
      </c>
      <c r="C29" s="1">
        <v>1</v>
      </c>
      <c r="D29" s="1" t="s">
        <v>3</v>
      </c>
      <c r="E29" s="89">
        <v>39961</v>
      </c>
      <c r="F29" s="287">
        <v>24.91</v>
      </c>
      <c r="G29" s="16"/>
      <c r="H29" s="16">
        <v>19.170000000000002</v>
      </c>
      <c r="I29" s="279">
        <f t="shared" si="1"/>
        <v>22.04</v>
      </c>
      <c r="J29" s="11">
        <f t="shared" si="0"/>
        <v>22.04</v>
      </c>
    </row>
    <row r="30" spans="2:10" ht="15.75">
      <c r="B30" s="3" t="s">
        <v>39</v>
      </c>
      <c r="C30" s="1">
        <v>10</v>
      </c>
      <c r="D30" s="1" t="s">
        <v>3</v>
      </c>
      <c r="E30" s="89">
        <v>1570</v>
      </c>
      <c r="F30" s="287">
        <v>1</v>
      </c>
      <c r="G30" s="16"/>
      <c r="H30" s="15"/>
      <c r="I30" s="279">
        <f t="shared" si="1"/>
        <v>1</v>
      </c>
      <c r="J30" s="11">
        <f t="shared" si="0"/>
        <v>10</v>
      </c>
    </row>
    <row r="31" spans="2:10" ht="15.75">
      <c r="B31" s="3" t="s">
        <v>40</v>
      </c>
      <c r="C31" s="1">
        <v>3.6</v>
      </c>
      <c r="D31" s="1" t="s">
        <v>11</v>
      </c>
      <c r="E31" s="89">
        <v>43649</v>
      </c>
      <c r="F31" s="287">
        <v>91.11</v>
      </c>
      <c r="G31" s="16"/>
      <c r="H31" s="15"/>
      <c r="I31" s="279">
        <f t="shared" si="1"/>
        <v>91.11</v>
      </c>
      <c r="J31" s="11">
        <f t="shared" si="0"/>
        <v>327.99599999999998</v>
      </c>
    </row>
    <row r="32" spans="2:10" ht="15.75">
      <c r="B32" s="3" t="s">
        <v>41</v>
      </c>
      <c r="C32" s="296">
        <v>1</v>
      </c>
      <c r="D32" s="296" t="s">
        <v>42</v>
      </c>
      <c r="E32" s="112"/>
      <c r="F32" s="16"/>
      <c r="G32" s="288">
        <v>9.1199999999999992</v>
      </c>
      <c r="H32" s="15">
        <v>20.309999999999999</v>
      </c>
      <c r="I32" s="279">
        <f t="shared" si="1"/>
        <v>14.715</v>
      </c>
      <c r="J32" s="11">
        <f t="shared" si="0"/>
        <v>14.715</v>
      </c>
    </row>
    <row r="33" spans="2:14" ht="15.75">
      <c r="B33" s="3" t="s">
        <v>43</v>
      </c>
      <c r="C33" s="296">
        <v>3</v>
      </c>
      <c r="D33" s="296" t="s">
        <v>3</v>
      </c>
      <c r="E33" s="112">
        <v>39601</v>
      </c>
      <c r="F33" s="16">
        <v>30.69</v>
      </c>
      <c r="G33" s="288"/>
      <c r="H33" s="15"/>
      <c r="I33" s="279">
        <f t="shared" si="1"/>
        <v>30.69</v>
      </c>
      <c r="J33" s="11">
        <f t="shared" si="0"/>
        <v>92.070000000000007</v>
      </c>
    </row>
    <row r="34" spans="2:14" ht="15.75">
      <c r="B34" s="3" t="s">
        <v>44</v>
      </c>
      <c r="C34" s="296">
        <v>10</v>
      </c>
      <c r="D34" s="296" t="s">
        <v>3</v>
      </c>
      <c r="E34" s="112">
        <v>39603</v>
      </c>
      <c r="F34" s="16">
        <v>3.27</v>
      </c>
      <c r="G34" s="288"/>
      <c r="H34" s="15"/>
      <c r="I34" s="279">
        <f t="shared" si="1"/>
        <v>3.27</v>
      </c>
      <c r="J34" s="11">
        <f t="shared" si="0"/>
        <v>32.700000000000003</v>
      </c>
      <c r="N34" s="295"/>
    </row>
    <row r="35" spans="2:14" ht="15.75">
      <c r="B35" s="3" t="s">
        <v>45</v>
      </c>
      <c r="C35" s="296">
        <v>1</v>
      </c>
      <c r="D35" s="296" t="s">
        <v>3</v>
      </c>
      <c r="E35" s="273"/>
      <c r="F35" s="288"/>
      <c r="G35" s="15"/>
      <c r="H35" s="15"/>
      <c r="I35" s="279">
        <f>AVERAGE(L35:N35)</f>
        <v>80.686666666666667</v>
      </c>
      <c r="J35" s="11">
        <f t="shared" si="0"/>
        <v>80.686666666666667</v>
      </c>
      <c r="L35" s="295">
        <v>79.900000000000006</v>
      </c>
      <c r="M35" s="295">
        <f>54.9+27.36</f>
        <v>82.259999999999991</v>
      </c>
      <c r="N35">
        <v>79.900000000000006</v>
      </c>
    </row>
    <row r="36" spans="2:14" ht="15.75">
      <c r="B36" s="641" t="s">
        <v>46</v>
      </c>
      <c r="C36" s="641"/>
      <c r="D36" s="641"/>
      <c r="E36" s="641"/>
      <c r="F36" s="641"/>
      <c r="G36" s="641"/>
      <c r="H36" s="641"/>
      <c r="I36" s="641"/>
      <c r="J36" s="11">
        <f>SUM(J5:J35)</f>
        <v>1234.8075000000001</v>
      </c>
    </row>
    <row r="37" spans="2:14" ht="15.75">
      <c r="B37" s="640" t="s">
        <v>47</v>
      </c>
      <c r="C37" s="640"/>
      <c r="D37" s="640"/>
      <c r="E37" s="640"/>
      <c r="F37" s="640"/>
      <c r="G37" s="640"/>
      <c r="H37" s="640"/>
      <c r="I37" s="640"/>
      <c r="J37" s="11">
        <f>J36/5</f>
        <v>246.96150000000003</v>
      </c>
    </row>
    <row r="38" spans="2:14" ht="15.75">
      <c r="B38" s="7"/>
      <c r="C38" s="6"/>
      <c r="D38" s="6"/>
      <c r="E38" s="14"/>
      <c r="F38" s="280"/>
    </row>
    <row r="40" spans="2:14" ht="30">
      <c r="B40" s="642" t="s">
        <v>48</v>
      </c>
      <c r="C40" s="642"/>
      <c r="D40" s="642"/>
      <c r="E40" s="642"/>
      <c r="F40" s="642"/>
      <c r="G40" s="642"/>
      <c r="H40" s="642"/>
      <c r="I40" s="642"/>
      <c r="J40" s="642"/>
    </row>
    <row r="41" spans="2:14" ht="15.75" customHeight="1">
      <c r="B41" s="653" t="s">
        <v>1</v>
      </c>
      <c r="C41" s="653" t="s">
        <v>49</v>
      </c>
      <c r="D41" s="649" t="s">
        <v>4</v>
      </c>
      <c r="E41" s="650"/>
      <c r="F41" s="650"/>
      <c r="G41" s="651"/>
      <c r="H41" s="9"/>
      <c r="I41" s="647" t="s">
        <v>5</v>
      </c>
      <c r="J41" s="646" t="s">
        <v>6</v>
      </c>
    </row>
    <row r="42" spans="2:14" ht="31.5">
      <c r="B42" s="654"/>
      <c r="C42" s="654"/>
      <c r="D42" s="8" t="s">
        <v>8</v>
      </c>
      <c r="E42" s="8" t="s">
        <v>50</v>
      </c>
      <c r="F42" s="283" t="s">
        <v>51</v>
      </c>
      <c r="G42" s="283" t="s">
        <v>52</v>
      </c>
      <c r="H42" s="8" t="s">
        <v>53</v>
      </c>
      <c r="I42" s="655"/>
      <c r="J42" s="647"/>
    </row>
    <row r="43" spans="2:14" ht="15.75">
      <c r="B43" s="1" t="s">
        <v>54</v>
      </c>
      <c r="C43" s="4">
        <v>4</v>
      </c>
      <c r="D43" s="289">
        <v>23.16</v>
      </c>
      <c r="E43" s="289">
        <v>17.149999999999999</v>
      </c>
      <c r="F43" s="279">
        <v>14.25</v>
      </c>
      <c r="G43" s="279">
        <v>39.700000000000003</v>
      </c>
      <c r="H43" s="272"/>
      <c r="I43" s="11">
        <f>AVERAGE(D43:H43)</f>
        <v>23.565000000000001</v>
      </c>
      <c r="J43" s="11">
        <f>I43*C43</f>
        <v>94.26</v>
      </c>
    </row>
    <row r="44" spans="2:14" ht="15.75">
      <c r="B44" s="1" t="s">
        <v>55</v>
      </c>
      <c r="C44" s="4">
        <v>2</v>
      </c>
      <c r="D44" s="289">
        <v>28.61</v>
      </c>
      <c r="E44" s="289">
        <v>48.19</v>
      </c>
      <c r="F44" s="279">
        <v>9.5</v>
      </c>
      <c r="G44" s="279">
        <v>25.17</v>
      </c>
      <c r="H44" s="272"/>
      <c r="I44" s="11">
        <f t="shared" ref="I44:I93" si="2">AVERAGE(D44:H44)</f>
        <v>27.8675</v>
      </c>
      <c r="J44" s="11">
        <f t="shared" ref="J44:J93" si="3">I44*C44</f>
        <v>55.734999999999999</v>
      </c>
    </row>
    <row r="45" spans="2:14" ht="15.75">
      <c r="B45" s="1" t="s">
        <v>56</v>
      </c>
      <c r="C45" s="4">
        <v>2</v>
      </c>
      <c r="D45" s="289"/>
      <c r="E45" s="289">
        <v>23.75</v>
      </c>
      <c r="F45" s="279">
        <v>53.43</v>
      </c>
      <c r="G45" s="279">
        <v>70.34</v>
      </c>
      <c r="H45" s="272"/>
      <c r="I45" s="11">
        <f t="shared" si="2"/>
        <v>49.173333333333339</v>
      </c>
      <c r="J45" s="11">
        <f t="shared" si="3"/>
        <v>98.346666666666678</v>
      </c>
    </row>
    <row r="46" spans="2:14" ht="15.75">
      <c r="B46" s="1" t="s">
        <v>57</v>
      </c>
      <c r="C46" s="4">
        <v>1</v>
      </c>
      <c r="D46" s="289"/>
      <c r="E46" s="289">
        <v>81.900000000000006</v>
      </c>
      <c r="F46" s="279">
        <v>47.49</v>
      </c>
      <c r="G46" s="279">
        <v>53.76</v>
      </c>
      <c r="H46" s="272"/>
      <c r="I46" s="11">
        <f t="shared" si="2"/>
        <v>61.050000000000004</v>
      </c>
      <c r="J46" s="11">
        <f t="shared" si="3"/>
        <v>61.050000000000004</v>
      </c>
    </row>
    <row r="47" spans="2:14" ht="15.75">
      <c r="B47" s="1" t="s">
        <v>58</v>
      </c>
      <c r="C47" s="4">
        <v>1</v>
      </c>
      <c r="D47" s="289"/>
      <c r="E47" s="289"/>
      <c r="F47" s="279"/>
      <c r="G47" s="279">
        <v>61.99</v>
      </c>
      <c r="H47" s="272"/>
      <c r="I47" s="11">
        <f t="shared" si="2"/>
        <v>61.99</v>
      </c>
      <c r="J47" s="11">
        <f t="shared" si="3"/>
        <v>61.99</v>
      </c>
    </row>
    <row r="48" spans="2:14" ht="15.75">
      <c r="B48" s="1" t="s">
        <v>59</v>
      </c>
      <c r="C48" s="4">
        <v>2</v>
      </c>
      <c r="D48" s="289">
        <v>25.47</v>
      </c>
      <c r="E48" s="289"/>
      <c r="F48" s="279">
        <v>13.06</v>
      </c>
      <c r="G48" s="279">
        <v>37.340000000000003</v>
      </c>
      <c r="H48" s="272"/>
      <c r="I48" s="11">
        <f t="shared" si="2"/>
        <v>25.290000000000003</v>
      </c>
      <c r="J48" s="11">
        <f t="shared" si="3"/>
        <v>50.580000000000005</v>
      </c>
    </row>
    <row r="49" spans="2:10" ht="15.75">
      <c r="B49" s="1" t="s">
        <v>60</v>
      </c>
      <c r="C49" s="4">
        <v>2</v>
      </c>
      <c r="D49" s="289">
        <v>38.229999999999997</v>
      </c>
      <c r="E49" s="289">
        <v>47.67</v>
      </c>
      <c r="F49" s="279">
        <v>16.62</v>
      </c>
      <c r="G49" s="279">
        <v>26.7</v>
      </c>
      <c r="H49" s="272"/>
      <c r="I49" s="11">
        <f t="shared" si="2"/>
        <v>32.305</v>
      </c>
      <c r="J49" s="11">
        <f t="shared" si="3"/>
        <v>64.61</v>
      </c>
    </row>
    <row r="50" spans="2:10" ht="15.75">
      <c r="B50" s="1" t="s">
        <v>61</v>
      </c>
      <c r="C50" s="4">
        <v>2</v>
      </c>
      <c r="D50" s="289">
        <v>144.94</v>
      </c>
      <c r="E50" s="289">
        <v>133.22</v>
      </c>
      <c r="F50" s="279"/>
      <c r="G50" s="279">
        <v>29.91</v>
      </c>
      <c r="H50" s="272"/>
      <c r="I50" s="11">
        <f t="shared" si="2"/>
        <v>102.69</v>
      </c>
      <c r="J50" s="11">
        <f t="shared" si="3"/>
        <v>205.38</v>
      </c>
    </row>
    <row r="51" spans="2:10" ht="15.75">
      <c r="B51" s="1" t="s">
        <v>62</v>
      </c>
      <c r="C51" s="4">
        <v>1</v>
      </c>
      <c r="D51" s="289">
        <v>244.28</v>
      </c>
      <c r="E51" s="289"/>
      <c r="F51" s="279"/>
      <c r="G51" s="279">
        <v>140.04</v>
      </c>
      <c r="H51" s="272"/>
      <c r="I51" s="11">
        <f t="shared" si="2"/>
        <v>192.16</v>
      </c>
      <c r="J51" s="11">
        <f t="shared" si="3"/>
        <v>192.16</v>
      </c>
    </row>
    <row r="52" spans="2:10" ht="15.75">
      <c r="B52" s="1" t="s">
        <v>63</v>
      </c>
      <c r="C52" s="4">
        <v>3</v>
      </c>
      <c r="D52" s="289">
        <v>5.84</v>
      </c>
      <c r="E52" s="289"/>
      <c r="F52" s="279">
        <v>2.37</v>
      </c>
      <c r="G52" s="279">
        <v>9.1300000000000008</v>
      </c>
      <c r="H52" s="272"/>
      <c r="I52" s="11">
        <f t="shared" si="2"/>
        <v>5.7800000000000011</v>
      </c>
      <c r="J52" s="11">
        <f t="shared" si="3"/>
        <v>17.340000000000003</v>
      </c>
    </row>
    <row r="53" spans="2:10" ht="15.75">
      <c r="B53" s="1" t="s">
        <v>64</v>
      </c>
      <c r="C53" s="4">
        <v>3</v>
      </c>
      <c r="D53" s="289">
        <v>5.51</v>
      </c>
      <c r="E53" s="289"/>
      <c r="F53" s="279">
        <v>4.75</v>
      </c>
      <c r="G53" s="279">
        <v>5.67</v>
      </c>
      <c r="H53" s="272"/>
      <c r="I53" s="11">
        <f t="shared" si="2"/>
        <v>5.31</v>
      </c>
      <c r="J53" s="11">
        <f t="shared" si="3"/>
        <v>15.93</v>
      </c>
    </row>
    <row r="54" spans="2:10" ht="15.75">
      <c r="B54" s="1" t="s">
        <v>65</v>
      </c>
      <c r="C54" s="4">
        <v>3</v>
      </c>
      <c r="D54" s="289">
        <v>5.84</v>
      </c>
      <c r="E54" s="289"/>
      <c r="F54" s="279"/>
      <c r="G54" s="279">
        <v>4.93</v>
      </c>
      <c r="H54" s="272"/>
      <c r="I54" s="11">
        <f t="shared" si="2"/>
        <v>5.3849999999999998</v>
      </c>
      <c r="J54" s="11">
        <f t="shared" si="3"/>
        <v>16.155000000000001</v>
      </c>
    </row>
    <row r="55" spans="2:10" ht="15.75">
      <c r="B55" s="1" t="s">
        <v>66</v>
      </c>
      <c r="C55" s="4">
        <v>3</v>
      </c>
      <c r="D55" s="289">
        <v>7.55</v>
      </c>
      <c r="E55" s="289"/>
      <c r="F55" s="279">
        <v>4.75</v>
      </c>
      <c r="G55" s="279">
        <v>4.97</v>
      </c>
      <c r="H55" s="272"/>
      <c r="I55" s="11">
        <f t="shared" si="2"/>
        <v>5.7566666666666668</v>
      </c>
      <c r="J55" s="11">
        <f t="shared" si="3"/>
        <v>17.27</v>
      </c>
    </row>
    <row r="56" spans="2:10" ht="15.75">
      <c r="B56" s="1" t="s">
        <v>67</v>
      </c>
      <c r="C56" s="4">
        <v>3</v>
      </c>
      <c r="D56" s="289">
        <v>7.55</v>
      </c>
      <c r="E56" s="289"/>
      <c r="F56" s="279"/>
      <c r="G56" s="279">
        <v>3.46</v>
      </c>
      <c r="H56" s="272"/>
      <c r="I56" s="11">
        <f t="shared" si="2"/>
        <v>5.5049999999999999</v>
      </c>
      <c r="J56" s="11">
        <f t="shared" si="3"/>
        <v>16.515000000000001</v>
      </c>
    </row>
    <row r="57" spans="2:10" ht="15.75">
      <c r="B57" s="1" t="s">
        <v>68</v>
      </c>
      <c r="C57" s="4">
        <v>3</v>
      </c>
      <c r="D57" s="289">
        <v>5.51</v>
      </c>
      <c r="E57" s="289"/>
      <c r="F57" s="279">
        <v>3.56</v>
      </c>
      <c r="G57" s="279">
        <v>7.48</v>
      </c>
      <c r="H57" s="272"/>
      <c r="I57" s="11">
        <f t="shared" si="2"/>
        <v>5.5166666666666666</v>
      </c>
      <c r="J57" s="11">
        <f t="shared" si="3"/>
        <v>16.55</v>
      </c>
    </row>
    <row r="58" spans="2:10" ht="15.75">
      <c r="B58" s="1" t="s">
        <v>69</v>
      </c>
      <c r="C58" s="4">
        <v>1</v>
      </c>
      <c r="D58" s="289"/>
      <c r="E58" s="289"/>
      <c r="F58" s="279"/>
      <c r="G58" s="279">
        <v>45.63</v>
      </c>
      <c r="H58" s="272"/>
      <c r="I58" s="11">
        <f t="shared" si="2"/>
        <v>45.63</v>
      </c>
      <c r="J58" s="11">
        <f t="shared" si="3"/>
        <v>45.63</v>
      </c>
    </row>
    <row r="59" spans="2:10" ht="15.75">
      <c r="B59" s="1" t="s">
        <v>70</v>
      </c>
      <c r="C59" s="4">
        <v>1</v>
      </c>
      <c r="D59" s="289"/>
      <c r="E59" s="289"/>
      <c r="F59" s="279">
        <v>32.06</v>
      </c>
      <c r="G59" s="279">
        <v>32.83</v>
      </c>
      <c r="H59" s="272"/>
      <c r="I59" s="11">
        <f t="shared" si="2"/>
        <v>32.445</v>
      </c>
      <c r="J59" s="11">
        <f t="shared" si="3"/>
        <v>32.445</v>
      </c>
    </row>
    <row r="60" spans="2:10" ht="15.75">
      <c r="B60" s="1" t="s">
        <v>71</v>
      </c>
      <c r="C60" s="4">
        <v>1</v>
      </c>
      <c r="D60" s="289"/>
      <c r="E60" s="289">
        <v>62.77</v>
      </c>
      <c r="F60" s="279">
        <v>35.619999999999997</v>
      </c>
      <c r="G60" s="279">
        <v>39.51</v>
      </c>
      <c r="H60" s="272"/>
      <c r="I60" s="11">
        <f t="shared" si="2"/>
        <v>45.966666666666669</v>
      </c>
      <c r="J60" s="11">
        <f t="shared" si="3"/>
        <v>45.966666666666669</v>
      </c>
    </row>
    <row r="61" spans="2:10" ht="15.75">
      <c r="B61" s="1" t="s">
        <v>72</v>
      </c>
      <c r="C61" s="4">
        <v>2</v>
      </c>
      <c r="D61" s="289"/>
      <c r="E61" s="289">
        <v>184.9</v>
      </c>
      <c r="F61" s="279">
        <v>83.11</v>
      </c>
      <c r="G61" s="279">
        <v>132.62</v>
      </c>
      <c r="H61" s="272"/>
      <c r="I61" s="11">
        <f t="shared" si="2"/>
        <v>133.54333333333332</v>
      </c>
      <c r="J61" s="11">
        <f t="shared" si="3"/>
        <v>267.08666666666664</v>
      </c>
    </row>
    <row r="62" spans="2:10" ht="15.75">
      <c r="B62" s="1" t="s">
        <v>73</v>
      </c>
      <c r="C62" s="4">
        <v>1</v>
      </c>
      <c r="D62" s="289">
        <v>743.89</v>
      </c>
      <c r="E62" s="289">
        <v>559.9</v>
      </c>
      <c r="F62" s="279">
        <v>249.33</v>
      </c>
      <c r="G62" s="279">
        <v>503.07</v>
      </c>
      <c r="H62" s="272"/>
      <c r="I62" s="11">
        <f t="shared" si="2"/>
        <v>514.04750000000001</v>
      </c>
      <c r="J62" s="11">
        <f t="shared" si="3"/>
        <v>514.04750000000001</v>
      </c>
    </row>
    <row r="63" spans="2:10" ht="15.75">
      <c r="B63" s="1" t="s">
        <v>74</v>
      </c>
      <c r="C63" s="4">
        <v>2</v>
      </c>
      <c r="D63" s="289">
        <v>1.67</v>
      </c>
      <c r="E63" s="289"/>
      <c r="F63" s="279">
        <v>8.32</v>
      </c>
      <c r="G63" s="279">
        <v>23.39</v>
      </c>
      <c r="H63" s="272"/>
      <c r="I63" s="11">
        <f t="shared" si="2"/>
        <v>11.126666666666667</v>
      </c>
      <c r="J63" s="11">
        <f t="shared" si="3"/>
        <v>22.253333333333334</v>
      </c>
    </row>
    <row r="64" spans="2:10" ht="15.75">
      <c r="B64" s="1" t="s">
        <v>75</v>
      </c>
      <c r="C64" s="4">
        <v>2</v>
      </c>
      <c r="D64" s="289">
        <v>303.36</v>
      </c>
      <c r="E64" s="289">
        <v>318.08999999999997</v>
      </c>
      <c r="F64" s="279">
        <v>178.09</v>
      </c>
      <c r="G64" s="279">
        <v>1758.24</v>
      </c>
      <c r="H64" s="272"/>
      <c r="I64" s="11">
        <f t="shared" si="2"/>
        <v>639.44500000000005</v>
      </c>
      <c r="J64" s="11">
        <f t="shared" si="3"/>
        <v>1278.8900000000001</v>
      </c>
    </row>
    <row r="65" spans="2:10" ht="15.75">
      <c r="B65" s="1" t="s">
        <v>76</v>
      </c>
      <c r="C65" s="4">
        <v>2</v>
      </c>
      <c r="D65" s="289"/>
      <c r="E65" s="289"/>
      <c r="F65" s="279">
        <v>83.11</v>
      </c>
      <c r="G65" s="279">
        <v>214.15</v>
      </c>
      <c r="H65" s="272"/>
      <c r="I65" s="11">
        <f t="shared" si="2"/>
        <v>148.63</v>
      </c>
      <c r="J65" s="11">
        <f t="shared" si="3"/>
        <v>297.26</v>
      </c>
    </row>
    <row r="66" spans="2:10" ht="15.75">
      <c r="B66" s="1" t="s">
        <v>77</v>
      </c>
      <c r="C66" s="4">
        <v>1</v>
      </c>
      <c r="D66" s="289">
        <v>136.84</v>
      </c>
      <c r="E66" s="289">
        <v>33.44</v>
      </c>
      <c r="F66" s="279">
        <v>29.68</v>
      </c>
      <c r="G66" s="279">
        <v>12.24</v>
      </c>
      <c r="H66" s="272"/>
      <c r="I66" s="11">
        <f t="shared" si="2"/>
        <v>53.050000000000004</v>
      </c>
      <c r="J66" s="11">
        <f t="shared" si="3"/>
        <v>53.050000000000004</v>
      </c>
    </row>
    <row r="67" spans="2:10" ht="15.75">
      <c r="B67" s="1" t="s">
        <v>78</v>
      </c>
      <c r="C67" s="4">
        <v>1</v>
      </c>
      <c r="D67" s="289">
        <v>339.66</v>
      </c>
      <c r="E67" s="289"/>
      <c r="F67" s="279">
        <v>97.36</v>
      </c>
      <c r="G67" s="279">
        <v>1130.99</v>
      </c>
      <c r="H67" s="272"/>
      <c r="I67" s="11">
        <f t="shared" si="2"/>
        <v>522.66999999999996</v>
      </c>
      <c r="J67" s="11">
        <f t="shared" si="3"/>
        <v>522.66999999999996</v>
      </c>
    </row>
    <row r="68" spans="2:10" ht="15.75">
      <c r="B68" s="1" t="s">
        <v>79</v>
      </c>
      <c r="C68" s="4">
        <v>1</v>
      </c>
      <c r="D68" s="289"/>
      <c r="E68" s="289"/>
      <c r="F68" s="279"/>
      <c r="G68" s="279">
        <v>51.39</v>
      </c>
      <c r="H68" s="272"/>
      <c r="I68" s="11">
        <f t="shared" si="2"/>
        <v>51.39</v>
      </c>
      <c r="J68" s="11">
        <f t="shared" si="3"/>
        <v>51.39</v>
      </c>
    </row>
    <row r="69" spans="2:10" ht="15.75">
      <c r="B69" s="1" t="s">
        <v>80</v>
      </c>
      <c r="C69" s="4">
        <v>1</v>
      </c>
      <c r="D69" s="289"/>
      <c r="E69" s="289">
        <v>69.900000000000006</v>
      </c>
      <c r="F69" s="279"/>
      <c r="G69" s="279">
        <v>205.44</v>
      </c>
      <c r="H69" s="272"/>
      <c r="I69" s="11">
        <f t="shared" si="2"/>
        <v>137.67000000000002</v>
      </c>
      <c r="J69" s="11">
        <f t="shared" si="3"/>
        <v>137.67000000000002</v>
      </c>
    </row>
    <row r="70" spans="2:10" ht="15.75">
      <c r="B70" s="1" t="s">
        <v>81</v>
      </c>
      <c r="C70" s="4">
        <v>1</v>
      </c>
      <c r="D70" s="289">
        <v>51.09</v>
      </c>
      <c r="E70" s="289"/>
      <c r="F70" s="279">
        <v>78.36</v>
      </c>
      <c r="G70" s="279">
        <v>157.12</v>
      </c>
      <c r="H70" s="272"/>
      <c r="I70" s="11">
        <f t="shared" si="2"/>
        <v>95.523333333333326</v>
      </c>
      <c r="J70" s="11">
        <f t="shared" si="3"/>
        <v>95.523333333333326</v>
      </c>
    </row>
    <row r="71" spans="2:10" ht="15.75">
      <c r="B71" s="1" t="s">
        <v>82</v>
      </c>
      <c r="C71" s="4">
        <v>1</v>
      </c>
      <c r="D71" s="289"/>
      <c r="E71" s="289">
        <v>68.900000000000006</v>
      </c>
      <c r="F71" s="279">
        <v>14.25</v>
      </c>
      <c r="G71" s="279">
        <v>53.04</v>
      </c>
      <c r="H71" s="272"/>
      <c r="I71" s="11">
        <f t="shared" si="2"/>
        <v>45.396666666666668</v>
      </c>
      <c r="J71" s="11">
        <f t="shared" si="3"/>
        <v>45.396666666666668</v>
      </c>
    </row>
    <row r="72" spans="2:10" ht="15.75">
      <c r="B72" s="1" t="s">
        <v>83</v>
      </c>
      <c r="C72" s="4">
        <v>2</v>
      </c>
      <c r="D72" s="289">
        <v>7.3</v>
      </c>
      <c r="E72" s="289">
        <v>10</v>
      </c>
      <c r="F72" s="279"/>
      <c r="G72" s="279">
        <v>13.74</v>
      </c>
      <c r="H72" s="272"/>
      <c r="I72" s="11">
        <f t="shared" si="2"/>
        <v>10.346666666666666</v>
      </c>
      <c r="J72" s="11">
        <f t="shared" si="3"/>
        <v>20.693333333333332</v>
      </c>
    </row>
    <row r="73" spans="2:10" ht="15.75">
      <c r="B73" s="1" t="s">
        <v>84</v>
      </c>
      <c r="C73" s="4">
        <v>2</v>
      </c>
      <c r="D73" s="289">
        <v>36</v>
      </c>
      <c r="E73" s="289">
        <v>21.4</v>
      </c>
      <c r="F73" s="279"/>
      <c r="G73" s="279">
        <v>21.82</v>
      </c>
      <c r="H73" s="272"/>
      <c r="I73" s="11">
        <f t="shared" si="2"/>
        <v>26.406666666666666</v>
      </c>
      <c r="J73" s="11">
        <f t="shared" si="3"/>
        <v>52.813333333333333</v>
      </c>
    </row>
    <row r="74" spans="2:10" ht="15.75">
      <c r="B74" s="1" t="s">
        <v>85</v>
      </c>
      <c r="C74" s="4">
        <v>1</v>
      </c>
      <c r="D74" s="289">
        <v>55.85</v>
      </c>
      <c r="E74" s="289">
        <v>59.9</v>
      </c>
      <c r="F74" s="279"/>
      <c r="G74" s="279">
        <v>54.02</v>
      </c>
      <c r="H74" s="272"/>
      <c r="I74" s="11">
        <f t="shared" si="2"/>
        <v>56.59</v>
      </c>
      <c r="J74" s="11">
        <f t="shared" si="3"/>
        <v>56.59</v>
      </c>
    </row>
    <row r="75" spans="2:10" ht="15.75">
      <c r="B75" s="1" t="s">
        <v>86</v>
      </c>
      <c r="C75" s="4">
        <v>1</v>
      </c>
      <c r="D75" s="289">
        <v>15.01</v>
      </c>
      <c r="E75" s="289"/>
      <c r="F75" s="279">
        <v>19</v>
      </c>
      <c r="G75" s="279">
        <v>12.52</v>
      </c>
      <c r="H75" s="272"/>
      <c r="I75" s="11">
        <f t="shared" si="2"/>
        <v>15.51</v>
      </c>
      <c r="J75" s="11">
        <f t="shared" si="3"/>
        <v>15.51</v>
      </c>
    </row>
    <row r="76" spans="2:10" ht="15.75">
      <c r="B76" s="1" t="s">
        <v>87</v>
      </c>
      <c r="C76" s="4">
        <v>1</v>
      </c>
      <c r="D76" s="289">
        <v>16.59</v>
      </c>
      <c r="E76" s="289">
        <v>43.96</v>
      </c>
      <c r="F76" s="279">
        <v>8.31</v>
      </c>
      <c r="G76" s="279"/>
      <c r="H76" s="272"/>
      <c r="I76" s="11">
        <f t="shared" si="2"/>
        <v>22.953333333333333</v>
      </c>
      <c r="J76" s="11">
        <f t="shared" si="3"/>
        <v>22.953333333333333</v>
      </c>
    </row>
    <row r="77" spans="2:10" ht="15.75">
      <c r="B77" s="1" t="s">
        <v>88</v>
      </c>
      <c r="C77" s="4">
        <v>1</v>
      </c>
      <c r="D77" s="289">
        <v>21.97</v>
      </c>
      <c r="E77" s="289"/>
      <c r="F77" s="279">
        <v>13.06</v>
      </c>
      <c r="G77" s="279">
        <v>26.42</v>
      </c>
      <c r="H77" s="272"/>
      <c r="I77" s="11">
        <f t="shared" si="2"/>
        <v>20.483333333333334</v>
      </c>
      <c r="J77" s="11">
        <f t="shared" si="3"/>
        <v>20.483333333333334</v>
      </c>
    </row>
    <row r="78" spans="2:10" ht="15.75">
      <c r="B78" s="1" t="s">
        <v>89</v>
      </c>
      <c r="C78" s="4">
        <v>2</v>
      </c>
      <c r="D78" s="289">
        <v>19.61</v>
      </c>
      <c r="E78" s="289">
        <v>33.9</v>
      </c>
      <c r="F78" s="279">
        <v>9.5</v>
      </c>
      <c r="G78" s="279">
        <v>41.96</v>
      </c>
      <c r="H78" s="272"/>
      <c r="I78" s="11">
        <f t="shared" si="2"/>
        <v>26.2425</v>
      </c>
      <c r="J78" s="11">
        <f t="shared" si="3"/>
        <v>52.484999999999999</v>
      </c>
    </row>
    <row r="79" spans="2:10" ht="15.75">
      <c r="B79" s="1" t="s">
        <v>90</v>
      </c>
      <c r="C79" s="4">
        <v>2</v>
      </c>
      <c r="D79" s="289">
        <v>25.27</v>
      </c>
      <c r="E79" s="289">
        <v>19.899999999999999</v>
      </c>
      <c r="F79" s="279">
        <v>10.69</v>
      </c>
      <c r="G79" s="279">
        <v>34.979999999999997</v>
      </c>
      <c r="H79" s="272"/>
      <c r="I79" s="11">
        <f t="shared" si="2"/>
        <v>22.71</v>
      </c>
      <c r="J79" s="11">
        <f t="shared" si="3"/>
        <v>45.42</v>
      </c>
    </row>
    <row r="80" spans="2:10" ht="15.75">
      <c r="B80" s="1" t="s">
        <v>91</v>
      </c>
      <c r="C80" s="4">
        <v>4</v>
      </c>
      <c r="D80" s="289"/>
      <c r="E80" s="289"/>
      <c r="F80" s="279"/>
      <c r="G80" s="279"/>
      <c r="H80" s="279">
        <v>4.82</v>
      </c>
      <c r="I80" s="11">
        <f t="shared" si="2"/>
        <v>4.82</v>
      </c>
      <c r="J80" s="11">
        <f t="shared" si="3"/>
        <v>19.28</v>
      </c>
    </row>
    <row r="81" spans="2:14" ht="15.75">
      <c r="B81" s="1" t="s">
        <v>92</v>
      </c>
      <c r="C81" s="4">
        <v>3</v>
      </c>
      <c r="D81" s="289"/>
      <c r="E81" s="289"/>
      <c r="F81" s="279"/>
      <c r="G81" s="279">
        <v>40.74</v>
      </c>
      <c r="H81" s="272"/>
      <c r="I81" s="11">
        <f t="shared" si="2"/>
        <v>40.74</v>
      </c>
      <c r="J81" s="11">
        <f t="shared" si="3"/>
        <v>122.22</v>
      </c>
    </row>
    <row r="82" spans="2:14" ht="15.75">
      <c r="B82" s="1" t="s">
        <v>93</v>
      </c>
      <c r="C82" s="4">
        <v>1</v>
      </c>
      <c r="D82" s="289">
        <v>353.65</v>
      </c>
      <c r="E82" s="289">
        <v>459.9</v>
      </c>
      <c r="F82" s="279">
        <v>356.18</v>
      </c>
      <c r="G82" s="279">
        <v>805.64</v>
      </c>
      <c r="H82" s="272"/>
      <c r="I82" s="11">
        <f t="shared" si="2"/>
        <v>493.84249999999997</v>
      </c>
      <c r="J82" s="11">
        <f t="shared" si="3"/>
        <v>493.84249999999997</v>
      </c>
    </row>
    <row r="83" spans="2:14" ht="15.75">
      <c r="B83" s="1" t="s">
        <v>94</v>
      </c>
      <c r="C83" s="4">
        <v>1</v>
      </c>
      <c r="D83" s="289">
        <v>1387.68</v>
      </c>
      <c r="E83" s="289">
        <v>426.55</v>
      </c>
      <c r="F83" s="279"/>
      <c r="G83" s="279">
        <v>1957.23</v>
      </c>
      <c r="H83" s="272"/>
      <c r="I83" s="11">
        <f t="shared" si="2"/>
        <v>1257.1533333333334</v>
      </c>
      <c r="J83" s="11">
        <f t="shared" si="3"/>
        <v>1257.1533333333334</v>
      </c>
    </row>
    <row r="84" spans="2:14" ht="15.75">
      <c r="B84" s="1" t="s">
        <v>95</v>
      </c>
      <c r="C84" s="4">
        <v>2</v>
      </c>
      <c r="D84" s="289"/>
      <c r="E84" s="289">
        <v>424.37</v>
      </c>
      <c r="F84" s="279">
        <v>83.11</v>
      </c>
      <c r="G84" s="279">
        <v>280.56</v>
      </c>
      <c r="H84" s="272"/>
      <c r="I84" s="11">
        <f t="shared" si="2"/>
        <v>262.68</v>
      </c>
      <c r="J84" s="11">
        <f t="shared" si="3"/>
        <v>525.36</v>
      </c>
    </row>
    <row r="85" spans="2:14" ht="15.75">
      <c r="B85" s="1" t="s">
        <v>96</v>
      </c>
      <c r="C85" s="4">
        <v>2</v>
      </c>
      <c r="D85" s="289"/>
      <c r="E85" s="289"/>
      <c r="F85" s="279">
        <v>3.56</v>
      </c>
      <c r="G85" s="279">
        <v>24.29</v>
      </c>
      <c r="H85" s="272"/>
      <c r="I85" s="11">
        <f>AVERAGE(D85:H85)</f>
        <v>13.924999999999999</v>
      </c>
      <c r="J85" s="11">
        <f t="shared" si="3"/>
        <v>27.849999999999998</v>
      </c>
    </row>
    <row r="86" spans="2:14" ht="15.75">
      <c r="B86" s="1" t="s">
        <v>97</v>
      </c>
      <c r="C86" s="4">
        <v>1</v>
      </c>
      <c r="D86" s="289"/>
      <c r="E86" s="289"/>
      <c r="F86" s="279">
        <v>9.5</v>
      </c>
      <c r="G86" s="279"/>
      <c r="H86" s="272"/>
      <c r="I86" s="11">
        <f t="shared" ref="I86:I87" si="4">AVERAGE(D86:H86)</f>
        <v>9.5</v>
      </c>
      <c r="J86" s="11">
        <f t="shared" si="3"/>
        <v>9.5</v>
      </c>
    </row>
    <row r="87" spans="2:14" ht="15.75">
      <c r="B87" s="1" t="s">
        <v>98</v>
      </c>
      <c r="C87" s="4">
        <v>1</v>
      </c>
      <c r="D87" s="289"/>
      <c r="E87" s="289">
        <v>400.56</v>
      </c>
      <c r="F87" s="279"/>
      <c r="G87" s="279">
        <v>422.79</v>
      </c>
      <c r="H87" s="272"/>
      <c r="I87" s="11">
        <f t="shared" si="4"/>
        <v>411.67500000000001</v>
      </c>
      <c r="J87" s="11">
        <f t="shared" si="3"/>
        <v>411.67500000000001</v>
      </c>
    </row>
    <row r="88" spans="2:14" ht="15.75">
      <c r="B88" s="1" t="s">
        <v>99</v>
      </c>
      <c r="C88" s="4">
        <v>2</v>
      </c>
      <c r="D88" s="289"/>
      <c r="E88" s="289"/>
      <c r="F88" s="279">
        <v>59.36</v>
      </c>
      <c r="G88" s="279">
        <v>29.86</v>
      </c>
      <c r="H88" s="272"/>
      <c r="I88" s="11">
        <f t="shared" si="2"/>
        <v>44.61</v>
      </c>
      <c r="J88" s="11">
        <f t="shared" si="3"/>
        <v>89.22</v>
      </c>
    </row>
    <row r="89" spans="2:14" ht="15.75">
      <c r="B89" s="1" t="s">
        <v>100</v>
      </c>
      <c r="C89" s="4">
        <v>2</v>
      </c>
      <c r="D89" s="289">
        <v>31.78</v>
      </c>
      <c r="E89" s="289"/>
      <c r="F89" s="279">
        <v>11.87</v>
      </c>
      <c r="G89" s="279">
        <v>33.479999999999997</v>
      </c>
      <c r="H89" s="272"/>
      <c r="I89" s="11">
        <f t="shared" si="2"/>
        <v>25.709999999999997</v>
      </c>
      <c r="J89" s="11">
        <f t="shared" si="3"/>
        <v>51.419999999999995</v>
      </c>
    </row>
    <row r="90" spans="2:14" ht="15.75">
      <c r="B90" s="1" t="s">
        <v>101</v>
      </c>
      <c r="C90" s="4">
        <v>1</v>
      </c>
      <c r="D90" s="289"/>
      <c r="E90" s="289"/>
      <c r="F90" s="279"/>
      <c r="G90" s="279">
        <v>2203.67</v>
      </c>
      <c r="H90" s="272"/>
      <c r="I90" s="11">
        <f t="shared" si="2"/>
        <v>2203.67</v>
      </c>
      <c r="J90" s="11">
        <f t="shared" si="3"/>
        <v>2203.67</v>
      </c>
    </row>
    <row r="91" spans="2:14" ht="15.75">
      <c r="B91" s="1" t="s">
        <v>102</v>
      </c>
      <c r="C91" s="4">
        <v>1</v>
      </c>
      <c r="D91" s="287"/>
      <c r="E91" s="287"/>
      <c r="F91" s="279"/>
      <c r="G91" s="279"/>
      <c r="H91" s="272"/>
      <c r="I91" s="11">
        <f>AVERAGE(L91:N91)</f>
        <v>5213.2233333333324</v>
      </c>
      <c r="J91" s="11">
        <f t="shared" si="3"/>
        <v>5213.2233333333324</v>
      </c>
      <c r="L91">
        <v>2062.9899999999998</v>
      </c>
      <c r="M91">
        <f>7735.94+131.6</f>
        <v>7867.54</v>
      </c>
      <c r="N91">
        <f>5675.86+33.28</f>
        <v>5709.1399999999994</v>
      </c>
    </row>
    <row r="92" spans="2:14" ht="15.75">
      <c r="B92" s="12" t="s">
        <v>103</v>
      </c>
      <c r="C92" s="4">
        <v>1</v>
      </c>
      <c r="D92" s="279">
        <v>95.15</v>
      </c>
      <c r="E92" s="279"/>
      <c r="F92" s="279"/>
      <c r="G92" s="279"/>
      <c r="H92" s="272"/>
      <c r="I92" s="11">
        <f t="shared" si="2"/>
        <v>95.15</v>
      </c>
      <c r="J92" s="11">
        <f t="shared" si="3"/>
        <v>95.15</v>
      </c>
    </row>
    <row r="93" spans="2:14" ht="31.5">
      <c r="B93" s="274" t="s">
        <v>104</v>
      </c>
      <c r="C93" s="157">
        <v>1</v>
      </c>
      <c r="D93" s="124"/>
      <c r="E93" s="279"/>
      <c r="F93" s="279">
        <v>415.54</v>
      </c>
      <c r="G93" s="279">
        <v>1941.45</v>
      </c>
      <c r="H93" s="279">
        <v>478.16</v>
      </c>
      <c r="I93" s="11">
        <f t="shared" si="2"/>
        <v>945.05000000000007</v>
      </c>
      <c r="J93" s="11">
        <f t="shared" si="3"/>
        <v>945.05000000000007</v>
      </c>
    </row>
    <row r="94" spans="2:14" ht="15.75">
      <c r="B94" s="274" t="s">
        <v>105</v>
      </c>
      <c r="C94" s="157">
        <v>1</v>
      </c>
      <c r="D94" s="124">
        <v>1416.78</v>
      </c>
      <c r="E94" s="279"/>
      <c r="F94" s="279"/>
      <c r="G94" s="279"/>
      <c r="H94" s="272"/>
      <c r="I94" s="11">
        <f>AVERAGE(D94,L94,M94)</f>
        <v>1130.58</v>
      </c>
      <c r="J94" s="11">
        <f t="shared" ref="J94" si="5">I94*C94</f>
        <v>1130.58</v>
      </c>
      <c r="L94">
        <f>916.66+25.62</f>
        <v>942.28</v>
      </c>
      <c r="M94">
        <v>1032.68</v>
      </c>
    </row>
    <row r="95" spans="2:14" ht="15.75">
      <c r="B95" s="652" t="s">
        <v>106</v>
      </c>
      <c r="C95" s="652"/>
      <c r="D95" s="652"/>
      <c r="E95" s="652"/>
      <c r="F95" s="652"/>
      <c r="G95" s="652"/>
      <c r="H95" s="652"/>
      <c r="I95" s="652"/>
      <c r="J95" s="11">
        <f>SUM(J43:J94)</f>
        <v>17275.293333333331</v>
      </c>
    </row>
    <row r="96" spans="2:14" ht="15.75">
      <c r="B96" s="475"/>
      <c r="C96" s="476"/>
      <c r="D96" s="476"/>
      <c r="E96" s="476"/>
      <c r="F96" s="476"/>
      <c r="G96" s="476"/>
      <c r="H96" s="476"/>
      <c r="I96" s="477" t="s">
        <v>1480</v>
      </c>
      <c r="J96" s="11">
        <f>(J95*0.8)/12/8</f>
        <v>143.96077777777776</v>
      </c>
    </row>
    <row r="97" spans="2:11" ht="15.75">
      <c r="B97" s="297"/>
      <c r="C97" s="298"/>
      <c r="D97" s="298"/>
      <c r="E97" s="298"/>
      <c r="F97" s="298"/>
      <c r="G97" s="298"/>
      <c r="H97" s="298"/>
      <c r="I97" s="299" t="s">
        <v>1481</v>
      </c>
      <c r="J97" s="11">
        <f>J95*0.005</f>
        <v>86.376466666666659</v>
      </c>
    </row>
    <row r="98" spans="2:11" ht="15.75">
      <c r="B98" s="478"/>
      <c r="C98" s="479"/>
      <c r="D98" s="479"/>
      <c r="E98" s="479"/>
      <c r="F98" s="479"/>
      <c r="G98" s="479"/>
      <c r="H98" s="479"/>
      <c r="I98" s="480" t="s">
        <v>1482</v>
      </c>
      <c r="J98" s="11">
        <f>(J96+J97)/5</f>
        <v>46.067448888888883</v>
      </c>
    </row>
    <row r="99" spans="2:11" ht="15.75">
      <c r="B99" s="277"/>
      <c r="C99" s="278"/>
      <c r="E99" s="17"/>
      <c r="F99" s="282"/>
      <c r="G99" s="282"/>
      <c r="H99" s="17"/>
      <c r="I99" s="17"/>
      <c r="J99" s="17"/>
    </row>
    <row r="100" spans="2:11" ht="35.25" customHeight="1">
      <c r="B100" s="642" t="s">
        <v>107</v>
      </c>
      <c r="C100" s="642"/>
      <c r="D100" s="642"/>
      <c r="E100" s="642"/>
      <c r="F100" s="642"/>
      <c r="G100" s="642"/>
      <c r="H100" s="642"/>
      <c r="I100" s="294"/>
    </row>
    <row r="101" spans="2:11" ht="15.75" customHeight="1">
      <c r="B101" s="648" t="s">
        <v>1</v>
      </c>
      <c r="C101" s="648" t="s">
        <v>108</v>
      </c>
      <c r="D101" s="656" t="s">
        <v>4</v>
      </c>
      <c r="E101" s="657"/>
      <c r="F101" s="658"/>
      <c r="G101" s="8" t="s">
        <v>5</v>
      </c>
      <c r="H101" s="8" t="s">
        <v>6</v>
      </c>
      <c r="I101" s="6"/>
      <c r="J101" s="214"/>
      <c r="K101" s="214"/>
    </row>
    <row r="102" spans="2:11" ht="31.5">
      <c r="B102" s="648"/>
      <c r="C102" s="648"/>
      <c r="D102" s="8" t="s">
        <v>52</v>
      </c>
      <c r="E102" s="8" t="s">
        <v>109</v>
      </c>
      <c r="F102" s="283" t="s">
        <v>51</v>
      </c>
      <c r="G102" s="8"/>
      <c r="H102" s="8"/>
      <c r="I102" s="214"/>
      <c r="J102" s="214"/>
    </row>
    <row r="103" spans="2:11" ht="15.75">
      <c r="B103" s="1" t="s">
        <v>110</v>
      </c>
      <c r="C103" s="1">
        <f>3*2</f>
        <v>6</v>
      </c>
      <c r="D103" s="287">
        <v>50.84</v>
      </c>
      <c r="E103" s="287">
        <v>35.590000000000003</v>
      </c>
      <c r="F103" s="279"/>
      <c r="G103" s="11">
        <f>AVERAGE(D103:F103)</f>
        <v>43.215000000000003</v>
      </c>
      <c r="H103" s="11">
        <f>C103*G103</f>
        <v>259.29000000000002</v>
      </c>
      <c r="I103" s="5"/>
      <c r="J103" s="5"/>
    </row>
    <row r="104" spans="2:11" ht="15.75">
      <c r="B104" s="1" t="s">
        <v>111</v>
      </c>
      <c r="C104" s="1">
        <f>(2*2)+(2*2*4)</f>
        <v>20</v>
      </c>
      <c r="D104" s="287">
        <v>97.67</v>
      </c>
      <c r="E104" s="287">
        <v>33.64</v>
      </c>
      <c r="F104" s="279">
        <v>23.15</v>
      </c>
      <c r="G104" s="11">
        <f t="shared" ref="G104:G108" si="6">AVERAGE(D104:F104)</f>
        <v>51.486666666666672</v>
      </c>
      <c r="H104" s="11">
        <f t="shared" ref="H104:H108" si="7">C104*G104</f>
        <v>1029.7333333333333</v>
      </c>
      <c r="I104" s="5"/>
      <c r="J104" s="5"/>
    </row>
    <row r="105" spans="2:11" ht="15.75">
      <c r="B105" s="1" t="s">
        <v>112</v>
      </c>
      <c r="C105" s="1">
        <f>5*2</f>
        <v>10</v>
      </c>
      <c r="D105" s="287">
        <v>113.78</v>
      </c>
      <c r="E105" s="287">
        <v>39.64</v>
      </c>
      <c r="F105" s="279">
        <v>17.809999999999999</v>
      </c>
      <c r="G105" s="11">
        <f t="shared" si="6"/>
        <v>57.076666666666675</v>
      </c>
      <c r="H105" s="11">
        <f t="shared" si="7"/>
        <v>570.76666666666677</v>
      </c>
      <c r="I105" s="5"/>
      <c r="J105" s="5"/>
    </row>
    <row r="106" spans="2:11" ht="15.75">
      <c r="B106" s="1" t="s">
        <v>113</v>
      </c>
      <c r="C106" s="1">
        <f>5*2*5</f>
        <v>50</v>
      </c>
      <c r="D106" s="287">
        <v>15.06</v>
      </c>
      <c r="E106" s="287">
        <v>6.55</v>
      </c>
      <c r="F106" s="279"/>
      <c r="G106" s="11">
        <f t="shared" si="6"/>
        <v>10.805</v>
      </c>
      <c r="H106" s="11">
        <f t="shared" si="7"/>
        <v>540.25</v>
      </c>
      <c r="I106" s="5"/>
      <c r="J106" s="5"/>
    </row>
    <row r="107" spans="2:11" ht="15.75">
      <c r="B107" s="1" t="s">
        <v>114</v>
      </c>
      <c r="C107" s="1">
        <f>6</f>
        <v>6</v>
      </c>
      <c r="D107" s="287">
        <v>86.78</v>
      </c>
      <c r="E107" s="287">
        <v>38</v>
      </c>
      <c r="F107" s="279"/>
      <c r="G107" s="11">
        <f t="shared" si="6"/>
        <v>62.39</v>
      </c>
      <c r="H107" s="11">
        <f t="shared" si="7"/>
        <v>374.34000000000003</v>
      </c>
    </row>
    <row r="108" spans="2:11" ht="15.75">
      <c r="B108" s="1" t="s">
        <v>115</v>
      </c>
      <c r="C108" s="1">
        <f>3*2*4</f>
        <v>24</v>
      </c>
      <c r="D108" s="287">
        <v>55.24</v>
      </c>
      <c r="E108" s="287">
        <v>25.58</v>
      </c>
      <c r="F108" s="279">
        <v>17.809999999999999</v>
      </c>
      <c r="G108" s="11">
        <f t="shared" si="6"/>
        <v>32.876666666666665</v>
      </c>
      <c r="H108" s="11">
        <f t="shared" si="7"/>
        <v>789.04</v>
      </c>
    </row>
    <row r="109" spans="2:11" ht="15.75">
      <c r="B109" s="643" t="s">
        <v>116</v>
      </c>
      <c r="C109" s="644"/>
      <c r="D109" s="644"/>
      <c r="E109" s="644"/>
      <c r="F109" s="644"/>
      <c r="G109" s="645"/>
      <c r="H109" s="275">
        <f>SUM(H103:H108)</f>
        <v>3563.42</v>
      </c>
      <c r="J109" s="18"/>
    </row>
    <row r="110" spans="2:11" ht="15.75">
      <c r="B110" s="643" t="s">
        <v>117</v>
      </c>
      <c r="C110" s="644"/>
      <c r="D110" s="644"/>
      <c r="E110" s="644"/>
      <c r="F110" s="644"/>
      <c r="G110" s="645"/>
      <c r="H110" s="275">
        <f>H109/12/5</f>
        <v>59.390333333333331</v>
      </c>
    </row>
    <row r="111" spans="2:11" ht="15.75">
      <c r="B111" s="13"/>
      <c r="C111" s="13"/>
      <c r="D111" s="13"/>
      <c r="E111" s="13"/>
      <c r="F111" s="280"/>
      <c r="G111" s="280"/>
      <c r="H111" s="13"/>
      <c r="I111" s="276"/>
    </row>
    <row r="112" spans="2:11" ht="30.75" customHeight="1">
      <c r="B112" s="642" t="s">
        <v>118</v>
      </c>
      <c r="C112" s="642"/>
      <c r="D112" s="642"/>
      <c r="E112" s="642"/>
      <c r="F112" s="642"/>
      <c r="G112" s="642"/>
      <c r="H112" s="642"/>
      <c r="I112" s="642"/>
      <c r="J112" s="642"/>
      <c r="K112" s="642"/>
    </row>
    <row r="113" spans="2:11" ht="15.75" customHeight="1">
      <c r="B113" s="648" t="s">
        <v>1</v>
      </c>
      <c r="C113" s="648" t="s">
        <v>119</v>
      </c>
      <c r="D113" s="656" t="s">
        <v>4</v>
      </c>
      <c r="E113" s="657"/>
      <c r="F113" s="657"/>
      <c r="G113" s="657"/>
      <c r="H113" s="657"/>
      <c r="I113" s="658"/>
      <c r="J113" s="659" t="s">
        <v>5</v>
      </c>
      <c r="K113" s="659" t="s">
        <v>120</v>
      </c>
    </row>
    <row r="114" spans="2:11" ht="31.5">
      <c r="B114" s="648"/>
      <c r="C114" s="648"/>
      <c r="D114" s="8" t="s">
        <v>50</v>
      </c>
      <c r="E114" s="8" t="s">
        <v>52</v>
      </c>
      <c r="F114" s="8" t="s">
        <v>8</v>
      </c>
      <c r="G114" s="8" t="s">
        <v>51</v>
      </c>
      <c r="H114" s="660" t="s">
        <v>121</v>
      </c>
      <c r="I114" s="660"/>
      <c r="J114" s="647"/>
      <c r="K114" s="647"/>
    </row>
    <row r="115" spans="2:11" ht="15.75">
      <c r="B115" s="1" t="s">
        <v>122</v>
      </c>
      <c r="C115" s="1">
        <v>2</v>
      </c>
      <c r="D115" s="279">
        <v>144.15</v>
      </c>
      <c r="E115" s="279">
        <v>171.03</v>
      </c>
      <c r="F115" s="279">
        <v>68.739999999999995</v>
      </c>
      <c r="G115" s="279"/>
      <c r="H115" s="279">
        <v>73.680000000000007</v>
      </c>
      <c r="I115" s="284">
        <v>36148</v>
      </c>
      <c r="J115" s="11">
        <f>AVERAGE(D115:H115)</f>
        <v>114.4</v>
      </c>
      <c r="K115" s="11">
        <f>J115*C115</f>
        <v>228.8</v>
      </c>
    </row>
    <row r="116" spans="2:11" ht="15.75">
      <c r="B116" s="1" t="s">
        <v>123</v>
      </c>
      <c r="C116" s="1">
        <v>2</v>
      </c>
      <c r="D116" s="279"/>
      <c r="E116" s="279">
        <v>372.92</v>
      </c>
      <c r="F116" s="279"/>
      <c r="G116" s="279">
        <v>71.239999999999995</v>
      </c>
      <c r="H116" s="279">
        <v>397.2</v>
      </c>
      <c r="I116" s="284">
        <v>36147</v>
      </c>
      <c r="J116" s="11">
        <f t="shared" ref="J116:J121" si="8">AVERAGE(D116:H116)</f>
        <v>280.45333333333332</v>
      </c>
      <c r="K116" s="11">
        <f>J116*C116</f>
        <v>560.90666666666664</v>
      </c>
    </row>
    <row r="117" spans="2:11" ht="15.75">
      <c r="B117" s="1" t="s">
        <v>124</v>
      </c>
      <c r="C117" s="1">
        <v>3</v>
      </c>
      <c r="D117" s="279"/>
      <c r="E117" s="279">
        <v>22.15</v>
      </c>
      <c r="F117" s="279">
        <v>9.7899999999999991</v>
      </c>
      <c r="G117" s="279">
        <v>8.31</v>
      </c>
      <c r="H117" s="279">
        <v>13.81</v>
      </c>
      <c r="I117" s="284">
        <v>12892</v>
      </c>
      <c r="J117" s="11">
        <f t="shared" si="8"/>
        <v>13.515000000000001</v>
      </c>
      <c r="K117" s="11">
        <f>J117*C117</f>
        <v>40.545000000000002</v>
      </c>
    </row>
    <row r="118" spans="2:11" ht="15.75">
      <c r="B118" s="1" t="s">
        <v>125</v>
      </c>
      <c r="C118" s="1">
        <v>5</v>
      </c>
      <c r="D118" s="279"/>
      <c r="E118" s="279">
        <v>3.04</v>
      </c>
      <c r="F118" s="279">
        <v>8.23</v>
      </c>
      <c r="G118" s="279">
        <v>6.53</v>
      </c>
      <c r="H118" s="279"/>
      <c r="I118" s="284"/>
      <c r="J118" s="11">
        <f t="shared" si="8"/>
        <v>5.9333333333333336</v>
      </c>
      <c r="K118" s="11"/>
    </row>
    <row r="119" spans="2:11" ht="15.75">
      <c r="B119" s="1" t="s">
        <v>126</v>
      </c>
      <c r="C119" s="1">
        <f>5*3</f>
        <v>15</v>
      </c>
      <c r="D119" s="279"/>
      <c r="E119" s="279">
        <v>11.55</v>
      </c>
      <c r="F119" s="279">
        <v>3.02</v>
      </c>
      <c r="G119" s="279">
        <v>1.78</v>
      </c>
      <c r="H119" s="279">
        <v>5.98</v>
      </c>
      <c r="I119" s="284">
        <v>36152</v>
      </c>
      <c r="J119" s="11">
        <f t="shared" si="8"/>
        <v>5.5825000000000005</v>
      </c>
      <c r="K119" s="11">
        <f>J119*C119</f>
        <v>83.737500000000011</v>
      </c>
    </row>
    <row r="120" spans="2:11" ht="15.75">
      <c r="B120" s="1" t="s">
        <v>127</v>
      </c>
      <c r="C120" s="1">
        <f>5*2*2</f>
        <v>20</v>
      </c>
      <c r="D120" s="279"/>
      <c r="E120" s="279">
        <v>3.89</v>
      </c>
      <c r="F120" s="279">
        <v>1.0900000000000001</v>
      </c>
      <c r="G120" s="279">
        <v>1.1299999999999999</v>
      </c>
      <c r="H120" s="279">
        <v>2.2999999999999998</v>
      </c>
      <c r="I120" s="284">
        <v>36142</v>
      </c>
      <c r="J120" s="11">
        <f t="shared" si="8"/>
        <v>2.1025</v>
      </c>
      <c r="K120" s="11">
        <f>J120*C120</f>
        <v>42.05</v>
      </c>
    </row>
    <row r="121" spans="2:11" ht="15.75">
      <c r="B121" s="1" t="s">
        <v>128</v>
      </c>
      <c r="C121" s="1">
        <v>25</v>
      </c>
      <c r="D121" s="279">
        <v>3.9</v>
      </c>
      <c r="E121" s="279">
        <v>3.31</v>
      </c>
      <c r="F121" s="279">
        <v>3.01</v>
      </c>
      <c r="G121" s="279">
        <v>0.95</v>
      </c>
      <c r="H121" s="279">
        <v>1.71</v>
      </c>
      <c r="I121" s="284">
        <v>36144</v>
      </c>
      <c r="J121" s="11">
        <f t="shared" si="8"/>
        <v>2.5759999999999996</v>
      </c>
      <c r="K121" s="11">
        <f>J121*C121</f>
        <v>64.399999999999991</v>
      </c>
    </row>
    <row r="122" spans="2:11" ht="15.75">
      <c r="B122" s="652" t="s">
        <v>116</v>
      </c>
      <c r="C122" s="652"/>
      <c r="D122" s="652"/>
      <c r="E122" s="652"/>
      <c r="F122" s="652"/>
      <c r="G122" s="652"/>
      <c r="H122" s="652"/>
      <c r="I122" s="652"/>
      <c r="J122" s="652"/>
      <c r="K122" s="275">
        <f>SUM(K115:K121)</f>
        <v>1020.4391666666667</v>
      </c>
    </row>
    <row r="123" spans="2:11" ht="15.75">
      <c r="B123" s="652" t="s">
        <v>117</v>
      </c>
      <c r="C123" s="652"/>
      <c r="D123" s="652"/>
      <c r="E123" s="652"/>
      <c r="F123" s="652"/>
      <c r="G123" s="652"/>
      <c r="H123" s="652"/>
      <c r="I123" s="652"/>
      <c r="J123" s="652"/>
      <c r="K123" s="275">
        <f>K122/12/5</f>
        <v>17.007319444444445</v>
      </c>
    </row>
    <row r="125" spans="2:11" ht="15.75">
      <c r="G125" s="291"/>
    </row>
    <row r="126" spans="2:11" ht="15.75">
      <c r="G126" s="291"/>
    </row>
    <row r="127" spans="2:11" ht="15.75">
      <c r="G127" s="291"/>
    </row>
    <row r="128" spans="2:11" ht="15.75">
      <c r="G128" s="291"/>
    </row>
    <row r="129" spans="7:7" ht="15.75">
      <c r="G129" s="291"/>
    </row>
    <row r="130" spans="7:7" ht="15.75">
      <c r="G130" s="291"/>
    </row>
    <row r="131" spans="7:7" ht="15.75">
      <c r="G131" s="291"/>
    </row>
  </sheetData>
  <mergeCells count="32">
    <mergeCell ref="I3:I4"/>
    <mergeCell ref="J3:J4"/>
    <mergeCell ref="B2:J2"/>
    <mergeCell ref="B3:B4"/>
    <mergeCell ref="C3:C4"/>
    <mergeCell ref="D3:D4"/>
    <mergeCell ref="E3:H3"/>
    <mergeCell ref="E4:F4"/>
    <mergeCell ref="J113:J114"/>
    <mergeCell ref="K113:K114"/>
    <mergeCell ref="D113:I113"/>
    <mergeCell ref="B122:J122"/>
    <mergeCell ref="B123:J123"/>
    <mergeCell ref="H114:I114"/>
    <mergeCell ref="B113:B114"/>
    <mergeCell ref="C113:C114"/>
    <mergeCell ref="B37:I37"/>
    <mergeCell ref="B36:I36"/>
    <mergeCell ref="B112:K112"/>
    <mergeCell ref="B100:H100"/>
    <mergeCell ref="B109:G109"/>
    <mergeCell ref="B110:G110"/>
    <mergeCell ref="J41:J42"/>
    <mergeCell ref="B101:B102"/>
    <mergeCell ref="C101:C102"/>
    <mergeCell ref="D41:G41"/>
    <mergeCell ref="B95:I95"/>
    <mergeCell ref="B41:B42"/>
    <mergeCell ref="C41:C42"/>
    <mergeCell ref="I41:I42"/>
    <mergeCell ref="B40:J40"/>
    <mergeCell ref="D101:F101"/>
  </mergeCells>
  <phoneticPr fontId="15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3B0E-CA4A-4001-BB14-7082A2191DCB}">
  <sheetPr>
    <pageSetUpPr fitToPage="1"/>
  </sheetPr>
  <dimension ref="A1:P107"/>
  <sheetViews>
    <sheetView topLeftCell="A73" zoomScaleNormal="100" workbookViewId="0">
      <selection activeCell="A3" sqref="A3"/>
    </sheetView>
  </sheetViews>
  <sheetFormatPr defaultRowHeight="16.5"/>
  <cols>
    <col min="1" max="1" width="15.28515625" style="13" customWidth="1"/>
    <col min="2" max="2" width="15" style="191" customWidth="1"/>
    <col min="3" max="3" width="73" style="192" customWidth="1"/>
    <col min="4" max="4" width="9.140625" style="193" customWidth="1"/>
    <col min="5" max="5" width="10.140625" style="13" customWidth="1"/>
    <col min="6" max="6" width="14.140625" style="194" bestFit="1" customWidth="1"/>
    <col min="7" max="7" width="16.5703125" style="195" customWidth="1"/>
    <col min="8" max="8" width="19.7109375" style="195" customWidth="1"/>
    <col min="9" max="9" width="5" style="19" customWidth="1"/>
    <col min="10" max="10" width="15.85546875" style="19" customWidth="1"/>
    <col min="11" max="11" width="15.28515625" style="19" customWidth="1"/>
    <col min="12" max="12" width="14.28515625" style="19" customWidth="1"/>
    <col min="13" max="13" width="11.28515625" style="19" customWidth="1"/>
    <col min="14" max="14" width="10.5703125" style="19" customWidth="1"/>
    <col min="15" max="247" width="9.140625" style="19"/>
    <col min="248" max="248" width="15.28515625" style="19" customWidth="1"/>
    <col min="249" max="249" width="10.140625" style="19" customWidth="1"/>
    <col min="250" max="250" width="7.28515625" style="19" customWidth="1"/>
    <col min="251" max="251" width="68.7109375" style="19" customWidth="1"/>
    <col min="252" max="252" width="15" style="19" customWidth="1"/>
    <col min="253" max="253" width="14.140625" style="19" bestFit="1" customWidth="1"/>
    <col min="254" max="254" width="16.5703125" style="19" customWidth="1"/>
    <col min="255" max="256" width="9.140625" style="19"/>
    <col min="257" max="257" width="8.7109375" style="19" customWidth="1"/>
    <col min="258" max="503" width="9.140625" style="19"/>
    <col min="504" max="504" width="15.28515625" style="19" customWidth="1"/>
    <col min="505" max="505" width="10.140625" style="19" customWidth="1"/>
    <col min="506" max="506" width="7.28515625" style="19" customWidth="1"/>
    <col min="507" max="507" width="68.7109375" style="19" customWidth="1"/>
    <col min="508" max="508" width="15" style="19" customWidth="1"/>
    <col min="509" max="509" width="14.140625" style="19" bestFit="1" customWidth="1"/>
    <col min="510" max="510" width="16.5703125" style="19" customWidth="1"/>
    <col min="511" max="512" width="9.140625" style="19"/>
    <col min="513" max="513" width="8.7109375" style="19" customWidth="1"/>
    <col min="514" max="759" width="9.140625" style="19"/>
    <col min="760" max="760" width="15.28515625" style="19" customWidth="1"/>
    <col min="761" max="761" width="10.140625" style="19" customWidth="1"/>
    <col min="762" max="762" width="7.28515625" style="19" customWidth="1"/>
    <col min="763" max="763" width="68.7109375" style="19" customWidth="1"/>
    <col min="764" max="764" width="15" style="19" customWidth="1"/>
    <col min="765" max="765" width="14.140625" style="19" bestFit="1" customWidth="1"/>
    <col min="766" max="766" width="16.5703125" style="19" customWidth="1"/>
    <col min="767" max="768" width="9.140625" style="19"/>
    <col min="769" max="769" width="8.7109375" style="19" customWidth="1"/>
    <col min="770" max="1015" width="9.140625" style="19"/>
    <col min="1016" max="1016" width="15.28515625" style="19" customWidth="1"/>
    <col min="1017" max="1017" width="10.140625" style="19" customWidth="1"/>
    <col min="1018" max="1018" width="7.28515625" style="19" customWidth="1"/>
    <col min="1019" max="1019" width="68.7109375" style="19" customWidth="1"/>
    <col min="1020" max="1020" width="15" style="19" customWidth="1"/>
    <col min="1021" max="1021" width="14.140625" style="19" bestFit="1" customWidth="1"/>
    <col min="1022" max="1022" width="16.5703125" style="19" customWidth="1"/>
    <col min="1023" max="1024" width="9.140625" style="19"/>
    <col min="1025" max="1025" width="8.7109375" style="19" customWidth="1"/>
    <col min="1026" max="1271" width="9.140625" style="19"/>
    <col min="1272" max="1272" width="15.28515625" style="19" customWidth="1"/>
    <col min="1273" max="1273" width="10.140625" style="19" customWidth="1"/>
    <col min="1274" max="1274" width="7.28515625" style="19" customWidth="1"/>
    <col min="1275" max="1275" width="68.7109375" style="19" customWidth="1"/>
    <col min="1276" max="1276" width="15" style="19" customWidth="1"/>
    <col min="1277" max="1277" width="14.140625" style="19" bestFit="1" customWidth="1"/>
    <col min="1278" max="1278" width="16.5703125" style="19" customWidth="1"/>
    <col min="1279" max="1280" width="9.140625" style="19"/>
    <col min="1281" max="1281" width="8.7109375" style="19" customWidth="1"/>
    <col min="1282" max="1527" width="9.140625" style="19"/>
    <col min="1528" max="1528" width="15.28515625" style="19" customWidth="1"/>
    <col min="1529" max="1529" width="10.140625" style="19" customWidth="1"/>
    <col min="1530" max="1530" width="7.28515625" style="19" customWidth="1"/>
    <col min="1531" max="1531" width="68.7109375" style="19" customWidth="1"/>
    <col min="1532" max="1532" width="15" style="19" customWidth="1"/>
    <col min="1533" max="1533" width="14.140625" style="19" bestFit="1" customWidth="1"/>
    <col min="1534" max="1534" width="16.5703125" style="19" customWidth="1"/>
    <col min="1535" max="1536" width="9.140625" style="19"/>
    <col min="1537" max="1537" width="8.7109375" style="19" customWidth="1"/>
    <col min="1538" max="1783" width="9.140625" style="19"/>
    <col min="1784" max="1784" width="15.28515625" style="19" customWidth="1"/>
    <col min="1785" max="1785" width="10.140625" style="19" customWidth="1"/>
    <col min="1786" max="1786" width="7.28515625" style="19" customWidth="1"/>
    <col min="1787" max="1787" width="68.7109375" style="19" customWidth="1"/>
    <col min="1788" max="1788" width="15" style="19" customWidth="1"/>
    <col min="1789" max="1789" width="14.140625" style="19" bestFit="1" customWidth="1"/>
    <col min="1790" max="1790" width="16.5703125" style="19" customWidth="1"/>
    <col min="1791" max="1792" width="9.140625" style="19"/>
    <col min="1793" max="1793" width="8.7109375" style="19" customWidth="1"/>
    <col min="1794" max="2039" width="9.140625" style="19"/>
    <col min="2040" max="2040" width="15.28515625" style="19" customWidth="1"/>
    <col min="2041" max="2041" width="10.140625" style="19" customWidth="1"/>
    <col min="2042" max="2042" width="7.28515625" style="19" customWidth="1"/>
    <col min="2043" max="2043" width="68.7109375" style="19" customWidth="1"/>
    <col min="2044" max="2044" width="15" style="19" customWidth="1"/>
    <col min="2045" max="2045" width="14.140625" style="19" bestFit="1" customWidth="1"/>
    <col min="2046" max="2046" width="16.5703125" style="19" customWidth="1"/>
    <col min="2047" max="2048" width="9.140625" style="19"/>
    <col min="2049" max="2049" width="8.7109375" style="19" customWidth="1"/>
    <col min="2050" max="2295" width="9.140625" style="19"/>
    <col min="2296" max="2296" width="15.28515625" style="19" customWidth="1"/>
    <col min="2297" max="2297" width="10.140625" style="19" customWidth="1"/>
    <col min="2298" max="2298" width="7.28515625" style="19" customWidth="1"/>
    <col min="2299" max="2299" width="68.7109375" style="19" customWidth="1"/>
    <col min="2300" max="2300" width="15" style="19" customWidth="1"/>
    <col min="2301" max="2301" width="14.140625" style="19" bestFit="1" customWidth="1"/>
    <col min="2302" max="2302" width="16.5703125" style="19" customWidth="1"/>
    <col min="2303" max="2304" width="9.140625" style="19"/>
    <col min="2305" max="2305" width="8.7109375" style="19" customWidth="1"/>
    <col min="2306" max="2551" width="9.140625" style="19"/>
    <col min="2552" max="2552" width="15.28515625" style="19" customWidth="1"/>
    <col min="2553" max="2553" width="10.140625" style="19" customWidth="1"/>
    <col min="2554" max="2554" width="7.28515625" style="19" customWidth="1"/>
    <col min="2555" max="2555" width="68.7109375" style="19" customWidth="1"/>
    <col min="2556" max="2556" width="15" style="19" customWidth="1"/>
    <col min="2557" max="2557" width="14.140625" style="19" bestFit="1" customWidth="1"/>
    <col min="2558" max="2558" width="16.5703125" style="19" customWidth="1"/>
    <col min="2559" max="2560" width="9.140625" style="19"/>
    <col min="2561" max="2561" width="8.7109375" style="19" customWidth="1"/>
    <col min="2562" max="2807" width="9.140625" style="19"/>
    <col min="2808" max="2808" width="15.28515625" style="19" customWidth="1"/>
    <col min="2809" max="2809" width="10.140625" style="19" customWidth="1"/>
    <col min="2810" max="2810" width="7.28515625" style="19" customWidth="1"/>
    <col min="2811" max="2811" width="68.7109375" style="19" customWidth="1"/>
    <col min="2812" max="2812" width="15" style="19" customWidth="1"/>
    <col min="2813" max="2813" width="14.140625" style="19" bestFit="1" customWidth="1"/>
    <col min="2814" max="2814" width="16.5703125" style="19" customWidth="1"/>
    <col min="2815" max="2816" width="9.140625" style="19"/>
    <col min="2817" max="2817" width="8.7109375" style="19" customWidth="1"/>
    <col min="2818" max="3063" width="9.140625" style="19"/>
    <col min="3064" max="3064" width="15.28515625" style="19" customWidth="1"/>
    <col min="3065" max="3065" width="10.140625" style="19" customWidth="1"/>
    <col min="3066" max="3066" width="7.28515625" style="19" customWidth="1"/>
    <col min="3067" max="3067" width="68.7109375" style="19" customWidth="1"/>
    <col min="3068" max="3068" width="15" style="19" customWidth="1"/>
    <col min="3069" max="3069" width="14.140625" style="19" bestFit="1" customWidth="1"/>
    <col min="3070" max="3070" width="16.5703125" style="19" customWidth="1"/>
    <col min="3071" max="3072" width="9.140625" style="19"/>
    <col min="3073" max="3073" width="8.7109375" style="19" customWidth="1"/>
    <col min="3074" max="3319" width="9.140625" style="19"/>
    <col min="3320" max="3320" width="15.28515625" style="19" customWidth="1"/>
    <col min="3321" max="3321" width="10.140625" style="19" customWidth="1"/>
    <col min="3322" max="3322" width="7.28515625" style="19" customWidth="1"/>
    <col min="3323" max="3323" width="68.7109375" style="19" customWidth="1"/>
    <col min="3324" max="3324" width="15" style="19" customWidth="1"/>
    <col min="3325" max="3325" width="14.140625" style="19" bestFit="1" customWidth="1"/>
    <col min="3326" max="3326" width="16.5703125" style="19" customWidth="1"/>
    <col min="3327" max="3328" width="9.140625" style="19"/>
    <col min="3329" max="3329" width="8.7109375" style="19" customWidth="1"/>
    <col min="3330" max="3575" width="9.140625" style="19"/>
    <col min="3576" max="3576" width="15.28515625" style="19" customWidth="1"/>
    <col min="3577" max="3577" width="10.140625" style="19" customWidth="1"/>
    <col min="3578" max="3578" width="7.28515625" style="19" customWidth="1"/>
    <col min="3579" max="3579" width="68.7109375" style="19" customWidth="1"/>
    <col min="3580" max="3580" width="15" style="19" customWidth="1"/>
    <col min="3581" max="3581" width="14.140625" style="19" bestFit="1" customWidth="1"/>
    <col min="3582" max="3582" width="16.5703125" style="19" customWidth="1"/>
    <col min="3583" max="3584" width="9.140625" style="19"/>
    <col min="3585" max="3585" width="8.7109375" style="19" customWidth="1"/>
    <col min="3586" max="3831" width="9.140625" style="19"/>
    <col min="3832" max="3832" width="15.28515625" style="19" customWidth="1"/>
    <col min="3833" max="3833" width="10.140625" style="19" customWidth="1"/>
    <col min="3834" max="3834" width="7.28515625" style="19" customWidth="1"/>
    <col min="3835" max="3835" width="68.7109375" style="19" customWidth="1"/>
    <col min="3836" max="3836" width="15" style="19" customWidth="1"/>
    <col min="3837" max="3837" width="14.140625" style="19" bestFit="1" customWidth="1"/>
    <col min="3838" max="3838" width="16.5703125" style="19" customWidth="1"/>
    <col min="3839" max="3840" width="9.140625" style="19"/>
    <col min="3841" max="3841" width="8.7109375" style="19" customWidth="1"/>
    <col min="3842" max="4087" width="9.140625" style="19"/>
    <col min="4088" max="4088" width="15.28515625" style="19" customWidth="1"/>
    <col min="4089" max="4089" width="10.140625" style="19" customWidth="1"/>
    <col min="4090" max="4090" width="7.28515625" style="19" customWidth="1"/>
    <col min="4091" max="4091" width="68.7109375" style="19" customWidth="1"/>
    <col min="4092" max="4092" width="15" style="19" customWidth="1"/>
    <col min="4093" max="4093" width="14.140625" style="19" bestFit="1" customWidth="1"/>
    <col min="4094" max="4094" width="16.5703125" style="19" customWidth="1"/>
    <col min="4095" max="4096" width="9.140625" style="19"/>
    <col min="4097" max="4097" width="8.7109375" style="19" customWidth="1"/>
    <col min="4098" max="4343" width="9.140625" style="19"/>
    <col min="4344" max="4344" width="15.28515625" style="19" customWidth="1"/>
    <col min="4345" max="4345" width="10.140625" style="19" customWidth="1"/>
    <col min="4346" max="4346" width="7.28515625" style="19" customWidth="1"/>
    <col min="4347" max="4347" width="68.7109375" style="19" customWidth="1"/>
    <col min="4348" max="4348" width="15" style="19" customWidth="1"/>
    <col min="4349" max="4349" width="14.140625" style="19" bestFit="1" customWidth="1"/>
    <col min="4350" max="4350" width="16.5703125" style="19" customWidth="1"/>
    <col min="4351" max="4352" width="9.140625" style="19"/>
    <col min="4353" max="4353" width="8.7109375" style="19" customWidth="1"/>
    <col min="4354" max="4599" width="9.140625" style="19"/>
    <col min="4600" max="4600" width="15.28515625" style="19" customWidth="1"/>
    <col min="4601" max="4601" width="10.140625" style="19" customWidth="1"/>
    <col min="4602" max="4602" width="7.28515625" style="19" customWidth="1"/>
    <col min="4603" max="4603" width="68.7109375" style="19" customWidth="1"/>
    <col min="4604" max="4604" width="15" style="19" customWidth="1"/>
    <col min="4605" max="4605" width="14.140625" style="19" bestFit="1" customWidth="1"/>
    <col min="4606" max="4606" width="16.5703125" style="19" customWidth="1"/>
    <col min="4607" max="4608" width="9.140625" style="19"/>
    <col min="4609" max="4609" width="8.7109375" style="19" customWidth="1"/>
    <col min="4610" max="4855" width="9.140625" style="19"/>
    <col min="4856" max="4856" width="15.28515625" style="19" customWidth="1"/>
    <col min="4857" max="4857" width="10.140625" style="19" customWidth="1"/>
    <col min="4858" max="4858" width="7.28515625" style="19" customWidth="1"/>
    <col min="4859" max="4859" width="68.7109375" style="19" customWidth="1"/>
    <col min="4860" max="4860" width="15" style="19" customWidth="1"/>
    <col min="4861" max="4861" width="14.140625" style="19" bestFit="1" customWidth="1"/>
    <col min="4862" max="4862" width="16.5703125" style="19" customWidth="1"/>
    <col min="4863" max="4864" width="9.140625" style="19"/>
    <col min="4865" max="4865" width="8.7109375" style="19" customWidth="1"/>
    <col min="4866" max="5111" width="9.140625" style="19"/>
    <col min="5112" max="5112" width="15.28515625" style="19" customWidth="1"/>
    <col min="5113" max="5113" width="10.140625" style="19" customWidth="1"/>
    <col min="5114" max="5114" width="7.28515625" style="19" customWidth="1"/>
    <col min="5115" max="5115" width="68.7109375" style="19" customWidth="1"/>
    <col min="5116" max="5116" width="15" style="19" customWidth="1"/>
    <col min="5117" max="5117" width="14.140625" style="19" bestFit="1" customWidth="1"/>
    <col min="5118" max="5118" width="16.5703125" style="19" customWidth="1"/>
    <col min="5119" max="5120" width="9.140625" style="19"/>
    <col min="5121" max="5121" width="8.7109375" style="19" customWidth="1"/>
    <col min="5122" max="5367" width="9.140625" style="19"/>
    <col min="5368" max="5368" width="15.28515625" style="19" customWidth="1"/>
    <col min="5369" max="5369" width="10.140625" style="19" customWidth="1"/>
    <col min="5370" max="5370" width="7.28515625" style="19" customWidth="1"/>
    <col min="5371" max="5371" width="68.7109375" style="19" customWidth="1"/>
    <col min="5372" max="5372" width="15" style="19" customWidth="1"/>
    <col min="5373" max="5373" width="14.140625" style="19" bestFit="1" customWidth="1"/>
    <col min="5374" max="5374" width="16.5703125" style="19" customWidth="1"/>
    <col min="5375" max="5376" width="9.140625" style="19"/>
    <col min="5377" max="5377" width="8.7109375" style="19" customWidth="1"/>
    <col min="5378" max="5623" width="9.140625" style="19"/>
    <col min="5624" max="5624" width="15.28515625" style="19" customWidth="1"/>
    <col min="5625" max="5625" width="10.140625" style="19" customWidth="1"/>
    <col min="5626" max="5626" width="7.28515625" style="19" customWidth="1"/>
    <col min="5627" max="5627" width="68.7109375" style="19" customWidth="1"/>
    <col min="5628" max="5628" width="15" style="19" customWidth="1"/>
    <col min="5629" max="5629" width="14.140625" style="19" bestFit="1" customWidth="1"/>
    <col min="5630" max="5630" width="16.5703125" style="19" customWidth="1"/>
    <col min="5631" max="5632" width="9.140625" style="19"/>
    <col min="5633" max="5633" width="8.7109375" style="19" customWidth="1"/>
    <col min="5634" max="5879" width="9.140625" style="19"/>
    <col min="5880" max="5880" width="15.28515625" style="19" customWidth="1"/>
    <col min="5881" max="5881" width="10.140625" style="19" customWidth="1"/>
    <col min="5882" max="5882" width="7.28515625" style="19" customWidth="1"/>
    <col min="5883" max="5883" width="68.7109375" style="19" customWidth="1"/>
    <col min="5884" max="5884" width="15" style="19" customWidth="1"/>
    <col min="5885" max="5885" width="14.140625" style="19" bestFit="1" customWidth="1"/>
    <col min="5886" max="5886" width="16.5703125" style="19" customWidth="1"/>
    <col min="5887" max="5888" width="9.140625" style="19"/>
    <col min="5889" max="5889" width="8.7109375" style="19" customWidth="1"/>
    <col min="5890" max="6135" width="9.140625" style="19"/>
    <col min="6136" max="6136" width="15.28515625" style="19" customWidth="1"/>
    <col min="6137" max="6137" width="10.140625" style="19" customWidth="1"/>
    <col min="6138" max="6138" width="7.28515625" style="19" customWidth="1"/>
    <col min="6139" max="6139" width="68.7109375" style="19" customWidth="1"/>
    <col min="6140" max="6140" width="15" style="19" customWidth="1"/>
    <col min="6141" max="6141" width="14.140625" style="19" bestFit="1" customWidth="1"/>
    <col min="6142" max="6142" width="16.5703125" style="19" customWidth="1"/>
    <col min="6143" max="6144" width="9.140625" style="19"/>
    <col min="6145" max="6145" width="8.7109375" style="19" customWidth="1"/>
    <col min="6146" max="6391" width="9.140625" style="19"/>
    <col min="6392" max="6392" width="15.28515625" style="19" customWidth="1"/>
    <col min="6393" max="6393" width="10.140625" style="19" customWidth="1"/>
    <col min="6394" max="6394" width="7.28515625" style="19" customWidth="1"/>
    <col min="6395" max="6395" width="68.7109375" style="19" customWidth="1"/>
    <col min="6396" max="6396" width="15" style="19" customWidth="1"/>
    <col min="6397" max="6397" width="14.140625" style="19" bestFit="1" customWidth="1"/>
    <col min="6398" max="6398" width="16.5703125" style="19" customWidth="1"/>
    <col min="6399" max="6400" width="9.140625" style="19"/>
    <col min="6401" max="6401" width="8.7109375" style="19" customWidth="1"/>
    <col min="6402" max="6647" width="9.140625" style="19"/>
    <col min="6648" max="6648" width="15.28515625" style="19" customWidth="1"/>
    <col min="6649" max="6649" width="10.140625" style="19" customWidth="1"/>
    <col min="6650" max="6650" width="7.28515625" style="19" customWidth="1"/>
    <col min="6651" max="6651" width="68.7109375" style="19" customWidth="1"/>
    <col min="6652" max="6652" width="15" style="19" customWidth="1"/>
    <col min="6653" max="6653" width="14.140625" style="19" bestFit="1" customWidth="1"/>
    <col min="6654" max="6654" width="16.5703125" style="19" customWidth="1"/>
    <col min="6655" max="6656" width="9.140625" style="19"/>
    <col min="6657" max="6657" width="8.7109375" style="19" customWidth="1"/>
    <col min="6658" max="6903" width="9.140625" style="19"/>
    <col min="6904" max="6904" width="15.28515625" style="19" customWidth="1"/>
    <col min="6905" max="6905" width="10.140625" style="19" customWidth="1"/>
    <col min="6906" max="6906" width="7.28515625" style="19" customWidth="1"/>
    <col min="6907" max="6907" width="68.7109375" style="19" customWidth="1"/>
    <col min="6908" max="6908" width="15" style="19" customWidth="1"/>
    <col min="6909" max="6909" width="14.140625" style="19" bestFit="1" customWidth="1"/>
    <col min="6910" max="6910" width="16.5703125" style="19" customWidth="1"/>
    <col min="6911" max="6912" width="9.140625" style="19"/>
    <col min="6913" max="6913" width="8.7109375" style="19" customWidth="1"/>
    <col min="6914" max="7159" width="9.140625" style="19"/>
    <col min="7160" max="7160" width="15.28515625" style="19" customWidth="1"/>
    <col min="7161" max="7161" width="10.140625" style="19" customWidth="1"/>
    <col min="7162" max="7162" width="7.28515625" style="19" customWidth="1"/>
    <col min="7163" max="7163" width="68.7109375" style="19" customWidth="1"/>
    <col min="7164" max="7164" width="15" style="19" customWidth="1"/>
    <col min="7165" max="7165" width="14.140625" style="19" bestFit="1" customWidth="1"/>
    <col min="7166" max="7166" width="16.5703125" style="19" customWidth="1"/>
    <col min="7167" max="7168" width="9.140625" style="19"/>
    <col min="7169" max="7169" width="8.7109375" style="19" customWidth="1"/>
    <col min="7170" max="7415" width="9.140625" style="19"/>
    <col min="7416" max="7416" width="15.28515625" style="19" customWidth="1"/>
    <col min="7417" max="7417" width="10.140625" style="19" customWidth="1"/>
    <col min="7418" max="7418" width="7.28515625" style="19" customWidth="1"/>
    <col min="7419" max="7419" width="68.7109375" style="19" customWidth="1"/>
    <col min="7420" max="7420" width="15" style="19" customWidth="1"/>
    <col min="7421" max="7421" width="14.140625" style="19" bestFit="1" customWidth="1"/>
    <col min="7422" max="7422" width="16.5703125" style="19" customWidth="1"/>
    <col min="7423" max="7424" width="9.140625" style="19"/>
    <col min="7425" max="7425" width="8.7109375" style="19" customWidth="1"/>
    <col min="7426" max="7671" width="9.140625" style="19"/>
    <col min="7672" max="7672" width="15.28515625" style="19" customWidth="1"/>
    <col min="7673" max="7673" width="10.140625" style="19" customWidth="1"/>
    <col min="7674" max="7674" width="7.28515625" style="19" customWidth="1"/>
    <col min="7675" max="7675" width="68.7109375" style="19" customWidth="1"/>
    <col min="7676" max="7676" width="15" style="19" customWidth="1"/>
    <col min="7677" max="7677" width="14.140625" style="19" bestFit="1" customWidth="1"/>
    <col min="7678" max="7678" width="16.5703125" style="19" customWidth="1"/>
    <col min="7679" max="7680" width="9.140625" style="19"/>
    <col min="7681" max="7681" width="8.7109375" style="19" customWidth="1"/>
    <col min="7682" max="7927" width="9.140625" style="19"/>
    <col min="7928" max="7928" width="15.28515625" style="19" customWidth="1"/>
    <col min="7929" max="7929" width="10.140625" style="19" customWidth="1"/>
    <col min="7930" max="7930" width="7.28515625" style="19" customWidth="1"/>
    <col min="7931" max="7931" width="68.7109375" style="19" customWidth="1"/>
    <col min="7932" max="7932" width="15" style="19" customWidth="1"/>
    <col min="7933" max="7933" width="14.140625" style="19" bestFit="1" customWidth="1"/>
    <col min="7934" max="7934" width="16.5703125" style="19" customWidth="1"/>
    <col min="7935" max="7936" width="9.140625" style="19"/>
    <col min="7937" max="7937" width="8.7109375" style="19" customWidth="1"/>
    <col min="7938" max="8183" width="9.140625" style="19"/>
    <col min="8184" max="8184" width="15.28515625" style="19" customWidth="1"/>
    <col min="8185" max="8185" width="10.140625" style="19" customWidth="1"/>
    <col min="8186" max="8186" width="7.28515625" style="19" customWidth="1"/>
    <col min="8187" max="8187" width="68.7109375" style="19" customWidth="1"/>
    <col min="8188" max="8188" width="15" style="19" customWidth="1"/>
    <col min="8189" max="8189" width="14.140625" style="19" bestFit="1" customWidth="1"/>
    <col min="8190" max="8190" width="16.5703125" style="19" customWidth="1"/>
    <col min="8191" max="8192" width="9.140625" style="19"/>
    <col min="8193" max="8193" width="8.7109375" style="19" customWidth="1"/>
    <col min="8194" max="8439" width="9.140625" style="19"/>
    <col min="8440" max="8440" width="15.28515625" style="19" customWidth="1"/>
    <col min="8441" max="8441" width="10.140625" style="19" customWidth="1"/>
    <col min="8442" max="8442" width="7.28515625" style="19" customWidth="1"/>
    <col min="8443" max="8443" width="68.7109375" style="19" customWidth="1"/>
    <col min="8444" max="8444" width="15" style="19" customWidth="1"/>
    <col min="8445" max="8445" width="14.140625" style="19" bestFit="1" customWidth="1"/>
    <col min="8446" max="8446" width="16.5703125" style="19" customWidth="1"/>
    <col min="8447" max="8448" width="9.140625" style="19"/>
    <col min="8449" max="8449" width="8.7109375" style="19" customWidth="1"/>
    <col min="8450" max="8695" width="9.140625" style="19"/>
    <col min="8696" max="8696" width="15.28515625" style="19" customWidth="1"/>
    <col min="8697" max="8697" width="10.140625" style="19" customWidth="1"/>
    <col min="8698" max="8698" width="7.28515625" style="19" customWidth="1"/>
    <col min="8699" max="8699" width="68.7109375" style="19" customWidth="1"/>
    <col min="8700" max="8700" width="15" style="19" customWidth="1"/>
    <col min="8701" max="8701" width="14.140625" style="19" bestFit="1" customWidth="1"/>
    <col min="8702" max="8702" width="16.5703125" style="19" customWidth="1"/>
    <col min="8703" max="8704" width="9.140625" style="19"/>
    <col min="8705" max="8705" width="8.7109375" style="19" customWidth="1"/>
    <col min="8706" max="8951" width="9.140625" style="19"/>
    <col min="8952" max="8952" width="15.28515625" style="19" customWidth="1"/>
    <col min="8953" max="8953" width="10.140625" style="19" customWidth="1"/>
    <col min="8954" max="8954" width="7.28515625" style="19" customWidth="1"/>
    <col min="8955" max="8955" width="68.7109375" style="19" customWidth="1"/>
    <col min="8956" max="8956" width="15" style="19" customWidth="1"/>
    <col min="8957" max="8957" width="14.140625" style="19" bestFit="1" customWidth="1"/>
    <col min="8958" max="8958" width="16.5703125" style="19" customWidth="1"/>
    <col min="8959" max="8960" width="9.140625" style="19"/>
    <col min="8961" max="8961" width="8.7109375" style="19" customWidth="1"/>
    <col min="8962" max="9207" width="9.140625" style="19"/>
    <col min="9208" max="9208" width="15.28515625" style="19" customWidth="1"/>
    <col min="9209" max="9209" width="10.140625" style="19" customWidth="1"/>
    <col min="9210" max="9210" width="7.28515625" style="19" customWidth="1"/>
    <col min="9211" max="9211" width="68.7109375" style="19" customWidth="1"/>
    <col min="9212" max="9212" width="15" style="19" customWidth="1"/>
    <col min="9213" max="9213" width="14.140625" style="19" bestFit="1" customWidth="1"/>
    <col min="9214" max="9214" width="16.5703125" style="19" customWidth="1"/>
    <col min="9215" max="9216" width="9.140625" style="19"/>
    <col min="9217" max="9217" width="8.7109375" style="19" customWidth="1"/>
    <col min="9218" max="9463" width="9.140625" style="19"/>
    <col min="9464" max="9464" width="15.28515625" style="19" customWidth="1"/>
    <col min="9465" max="9465" width="10.140625" style="19" customWidth="1"/>
    <col min="9466" max="9466" width="7.28515625" style="19" customWidth="1"/>
    <col min="9467" max="9467" width="68.7109375" style="19" customWidth="1"/>
    <col min="9468" max="9468" width="15" style="19" customWidth="1"/>
    <col min="9469" max="9469" width="14.140625" style="19" bestFit="1" customWidth="1"/>
    <col min="9470" max="9470" width="16.5703125" style="19" customWidth="1"/>
    <col min="9471" max="9472" width="9.140625" style="19"/>
    <col min="9473" max="9473" width="8.7109375" style="19" customWidth="1"/>
    <col min="9474" max="9719" width="9.140625" style="19"/>
    <col min="9720" max="9720" width="15.28515625" style="19" customWidth="1"/>
    <col min="9721" max="9721" width="10.140625" style="19" customWidth="1"/>
    <col min="9722" max="9722" width="7.28515625" style="19" customWidth="1"/>
    <col min="9723" max="9723" width="68.7109375" style="19" customWidth="1"/>
    <col min="9724" max="9724" width="15" style="19" customWidth="1"/>
    <col min="9725" max="9725" width="14.140625" style="19" bestFit="1" customWidth="1"/>
    <col min="9726" max="9726" width="16.5703125" style="19" customWidth="1"/>
    <col min="9727" max="9728" width="9.140625" style="19"/>
    <col min="9729" max="9729" width="8.7109375" style="19" customWidth="1"/>
    <col min="9730" max="9975" width="9.140625" style="19"/>
    <col min="9976" max="9976" width="15.28515625" style="19" customWidth="1"/>
    <col min="9977" max="9977" width="10.140625" style="19" customWidth="1"/>
    <col min="9978" max="9978" width="7.28515625" style="19" customWidth="1"/>
    <col min="9979" max="9979" width="68.7109375" style="19" customWidth="1"/>
    <col min="9980" max="9980" width="15" style="19" customWidth="1"/>
    <col min="9981" max="9981" width="14.140625" style="19" bestFit="1" customWidth="1"/>
    <col min="9982" max="9982" width="16.5703125" style="19" customWidth="1"/>
    <col min="9983" max="9984" width="9.140625" style="19"/>
    <col min="9985" max="9985" width="8.7109375" style="19" customWidth="1"/>
    <col min="9986" max="10231" width="9.140625" style="19"/>
    <col min="10232" max="10232" width="15.28515625" style="19" customWidth="1"/>
    <col min="10233" max="10233" width="10.140625" style="19" customWidth="1"/>
    <col min="10234" max="10234" width="7.28515625" style="19" customWidth="1"/>
    <col min="10235" max="10235" width="68.7109375" style="19" customWidth="1"/>
    <col min="10236" max="10236" width="15" style="19" customWidth="1"/>
    <col min="10237" max="10237" width="14.140625" style="19" bestFit="1" customWidth="1"/>
    <col min="10238" max="10238" width="16.5703125" style="19" customWidth="1"/>
    <col min="10239" max="10240" width="9.140625" style="19"/>
    <col min="10241" max="10241" width="8.7109375" style="19" customWidth="1"/>
    <col min="10242" max="10487" width="9.140625" style="19"/>
    <col min="10488" max="10488" width="15.28515625" style="19" customWidth="1"/>
    <col min="10489" max="10489" width="10.140625" style="19" customWidth="1"/>
    <col min="10490" max="10490" width="7.28515625" style="19" customWidth="1"/>
    <col min="10491" max="10491" width="68.7109375" style="19" customWidth="1"/>
    <col min="10492" max="10492" width="15" style="19" customWidth="1"/>
    <col min="10493" max="10493" width="14.140625" style="19" bestFit="1" customWidth="1"/>
    <col min="10494" max="10494" width="16.5703125" style="19" customWidth="1"/>
    <col min="10495" max="10496" width="9.140625" style="19"/>
    <col min="10497" max="10497" width="8.7109375" style="19" customWidth="1"/>
    <col min="10498" max="10743" width="9.140625" style="19"/>
    <col min="10744" max="10744" width="15.28515625" style="19" customWidth="1"/>
    <col min="10745" max="10745" width="10.140625" style="19" customWidth="1"/>
    <col min="10746" max="10746" width="7.28515625" style="19" customWidth="1"/>
    <col min="10747" max="10747" width="68.7109375" style="19" customWidth="1"/>
    <col min="10748" max="10748" width="15" style="19" customWidth="1"/>
    <col min="10749" max="10749" width="14.140625" style="19" bestFit="1" customWidth="1"/>
    <col min="10750" max="10750" width="16.5703125" style="19" customWidth="1"/>
    <col min="10751" max="10752" width="9.140625" style="19"/>
    <col min="10753" max="10753" width="8.7109375" style="19" customWidth="1"/>
    <col min="10754" max="10999" width="9.140625" style="19"/>
    <col min="11000" max="11000" width="15.28515625" style="19" customWidth="1"/>
    <col min="11001" max="11001" width="10.140625" style="19" customWidth="1"/>
    <col min="11002" max="11002" width="7.28515625" style="19" customWidth="1"/>
    <col min="11003" max="11003" width="68.7109375" style="19" customWidth="1"/>
    <col min="11004" max="11004" width="15" style="19" customWidth="1"/>
    <col min="11005" max="11005" width="14.140625" style="19" bestFit="1" customWidth="1"/>
    <col min="11006" max="11006" width="16.5703125" style="19" customWidth="1"/>
    <col min="11007" max="11008" width="9.140625" style="19"/>
    <col min="11009" max="11009" width="8.7109375" style="19" customWidth="1"/>
    <col min="11010" max="11255" width="9.140625" style="19"/>
    <col min="11256" max="11256" width="15.28515625" style="19" customWidth="1"/>
    <col min="11257" max="11257" width="10.140625" style="19" customWidth="1"/>
    <col min="11258" max="11258" width="7.28515625" style="19" customWidth="1"/>
    <col min="11259" max="11259" width="68.7109375" style="19" customWidth="1"/>
    <col min="11260" max="11260" width="15" style="19" customWidth="1"/>
    <col min="11261" max="11261" width="14.140625" style="19" bestFit="1" customWidth="1"/>
    <col min="11262" max="11262" width="16.5703125" style="19" customWidth="1"/>
    <col min="11263" max="11264" width="9.140625" style="19"/>
    <col min="11265" max="11265" width="8.7109375" style="19" customWidth="1"/>
    <col min="11266" max="11511" width="9.140625" style="19"/>
    <col min="11512" max="11512" width="15.28515625" style="19" customWidth="1"/>
    <col min="11513" max="11513" width="10.140625" style="19" customWidth="1"/>
    <col min="11514" max="11514" width="7.28515625" style="19" customWidth="1"/>
    <col min="11515" max="11515" width="68.7109375" style="19" customWidth="1"/>
    <col min="11516" max="11516" width="15" style="19" customWidth="1"/>
    <col min="11517" max="11517" width="14.140625" style="19" bestFit="1" customWidth="1"/>
    <col min="11518" max="11518" width="16.5703125" style="19" customWidth="1"/>
    <col min="11519" max="11520" width="9.140625" style="19"/>
    <col min="11521" max="11521" width="8.7109375" style="19" customWidth="1"/>
    <col min="11522" max="11767" width="9.140625" style="19"/>
    <col min="11768" max="11768" width="15.28515625" style="19" customWidth="1"/>
    <col min="11769" max="11769" width="10.140625" style="19" customWidth="1"/>
    <col min="11770" max="11770" width="7.28515625" style="19" customWidth="1"/>
    <col min="11771" max="11771" width="68.7109375" style="19" customWidth="1"/>
    <col min="11772" max="11772" width="15" style="19" customWidth="1"/>
    <col min="11773" max="11773" width="14.140625" style="19" bestFit="1" customWidth="1"/>
    <col min="11774" max="11774" width="16.5703125" style="19" customWidth="1"/>
    <col min="11775" max="11776" width="9.140625" style="19"/>
    <col min="11777" max="11777" width="8.7109375" style="19" customWidth="1"/>
    <col min="11778" max="12023" width="9.140625" style="19"/>
    <col min="12024" max="12024" width="15.28515625" style="19" customWidth="1"/>
    <col min="12025" max="12025" width="10.140625" style="19" customWidth="1"/>
    <col min="12026" max="12026" width="7.28515625" style="19" customWidth="1"/>
    <col min="12027" max="12027" width="68.7109375" style="19" customWidth="1"/>
    <col min="12028" max="12028" width="15" style="19" customWidth="1"/>
    <col min="12029" max="12029" width="14.140625" style="19" bestFit="1" customWidth="1"/>
    <col min="12030" max="12030" width="16.5703125" style="19" customWidth="1"/>
    <col min="12031" max="12032" width="9.140625" style="19"/>
    <col min="12033" max="12033" width="8.7109375" style="19" customWidth="1"/>
    <col min="12034" max="12279" width="9.140625" style="19"/>
    <col min="12280" max="12280" width="15.28515625" style="19" customWidth="1"/>
    <col min="12281" max="12281" width="10.140625" style="19" customWidth="1"/>
    <col min="12282" max="12282" width="7.28515625" style="19" customWidth="1"/>
    <col min="12283" max="12283" width="68.7109375" style="19" customWidth="1"/>
    <col min="12284" max="12284" width="15" style="19" customWidth="1"/>
    <col min="12285" max="12285" width="14.140625" style="19" bestFit="1" customWidth="1"/>
    <col min="12286" max="12286" width="16.5703125" style="19" customWidth="1"/>
    <col min="12287" max="12288" width="9.140625" style="19"/>
    <col min="12289" max="12289" width="8.7109375" style="19" customWidth="1"/>
    <col min="12290" max="12535" width="9.140625" style="19"/>
    <col min="12536" max="12536" width="15.28515625" style="19" customWidth="1"/>
    <col min="12537" max="12537" width="10.140625" style="19" customWidth="1"/>
    <col min="12538" max="12538" width="7.28515625" style="19" customWidth="1"/>
    <col min="12539" max="12539" width="68.7109375" style="19" customWidth="1"/>
    <col min="12540" max="12540" width="15" style="19" customWidth="1"/>
    <col min="12541" max="12541" width="14.140625" style="19" bestFit="1" customWidth="1"/>
    <col min="12542" max="12542" width="16.5703125" style="19" customWidth="1"/>
    <col min="12543" max="12544" width="9.140625" style="19"/>
    <col min="12545" max="12545" width="8.7109375" style="19" customWidth="1"/>
    <col min="12546" max="12791" width="9.140625" style="19"/>
    <col min="12792" max="12792" width="15.28515625" style="19" customWidth="1"/>
    <col min="12793" max="12793" width="10.140625" style="19" customWidth="1"/>
    <col min="12794" max="12794" width="7.28515625" style="19" customWidth="1"/>
    <col min="12795" max="12795" width="68.7109375" style="19" customWidth="1"/>
    <col min="12796" max="12796" width="15" style="19" customWidth="1"/>
    <col min="12797" max="12797" width="14.140625" style="19" bestFit="1" customWidth="1"/>
    <col min="12798" max="12798" width="16.5703125" style="19" customWidth="1"/>
    <col min="12799" max="12800" width="9.140625" style="19"/>
    <col min="12801" max="12801" width="8.7109375" style="19" customWidth="1"/>
    <col min="12802" max="13047" width="9.140625" style="19"/>
    <col min="13048" max="13048" width="15.28515625" style="19" customWidth="1"/>
    <col min="13049" max="13049" width="10.140625" style="19" customWidth="1"/>
    <col min="13050" max="13050" width="7.28515625" style="19" customWidth="1"/>
    <col min="13051" max="13051" width="68.7109375" style="19" customWidth="1"/>
    <col min="13052" max="13052" width="15" style="19" customWidth="1"/>
    <col min="13053" max="13053" width="14.140625" style="19" bestFit="1" customWidth="1"/>
    <col min="13054" max="13054" width="16.5703125" style="19" customWidth="1"/>
    <col min="13055" max="13056" width="9.140625" style="19"/>
    <col min="13057" max="13057" width="8.7109375" style="19" customWidth="1"/>
    <col min="13058" max="13303" width="9.140625" style="19"/>
    <col min="13304" max="13304" width="15.28515625" style="19" customWidth="1"/>
    <col min="13305" max="13305" width="10.140625" style="19" customWidth="1"/>
    <col min="13306" max="13306" width="7.28515625" style="19" customWidth="1"/>
    <col min="13307" max="13307" width="68.7109375" style="19" customWidth="1"/>
    <col min="13308" max="13308" width="15" style="19" customWidth="1"/>
    <col min="13309" max="13309" width="14.140625" style="19" bestFit="1" customWidth="1"/>
    <col min="13310" max="13310" width="16.5703125" style="19" customWidth="1"/>
    <col min="13311" max="13312" width="9.140625" style="19"/>
    <col min="13313" max="13313" width="8.7109375" style="19" customWidth="1"/>
    <col min="13314" max="13559" width="9.140625" style="19"/>
    <col min="13560" max="13560" width="15.28515625" style="19" customWidth="1"/>
    <col min="13561" max="13561" width="10.140625" style="19" customWidth="1"/>
    <col min="13562" max="13562" width="7.28515625" style="19" customWidth="1"/>
    <col min="13563" max="13563" width="68.7109375" style="19" customWidth="1"/>
    <col min="13564" max="13564" width="15" style="19" customWidth="1"/>
    <col min="13565" max="13565" width="14.140625" style="19" bestFit="1" customWidth="1"/>
    <col min="13566" max="13566" width="16.5703125" style="19" customWidth="1"/>
    <col min="13567" max="13568" width="9.140625" style="19"/>
    <col min="13569" max="13569" width="8.7109375" style="19" customWidth="1"/>
    <col min="13570" max="13815" width="9.140625" style="19"/>
    <col min="13816" max="13816" width="15.28515625" style="19" customWidth="1"/>
    <col min="13817" max="13817" width="10.140625" style="19" customWidth="1"/>
    <col min="13818" max="13818" width="7.28515625" style="19" customWidth="1"/>
    <col min="13819" max="13819" width="68.7109375" style="19" customWidth="1"/>
    <col min="13820" max="13820" width="15" style="19" customWidth="1"/>
    <col min="13821" max="13821" width="14.140625" style="19" bestFit="1" customWidth="1"/>
    <col min="13822" max="13822" width="16.5703125" style="19" customWidth="1"/>
    <col min="13823" max="13824" width="9.140625" style="19"/>
    <col min="13825" max="13825" width="8.7109375" style="19" customWidth="1"/>
    <col min="13826" max="14071" width="9.140625" style="19"/>
    <col min="14072" max="14072" width="15.28515625" style="19" customWidth="1"/>
    <col min="14073" max="14073" width="10.140625" style="19" customWidth="1"/>
    <col min="14074" max="14074" width="7.28515625" style="19" customWidth="1"/>
    <col min="14075" max="14075" width="68.7109375" style="19" customWidth="1"/>
    <col min="14076" max="14076" width="15" style="19" customWidth="1"/>
    <col min="14077" max="14077" width="14.140625" style="19" bestFit="1" customWidth="1"/>
    <col min="14078" max="14078" width="16.5703125" style="19" customWidth="1"/>
    <col min="14079" max="14080" width="9.140625" style="19"/>
    <col min="14081" max="14081" width="8.7109375" style="19" customWidth="1"/>
    <col min="14082" max="14327" width="9.140625" style="19"/>
    <col min="14328" max="14328" width="15.28515625" style="19" customWidth="1"/>
    <col min="14329" max="14329" width="10.140625" style="19" customWidth="1"/>
    <col min="14330" max="14330" width="7.28515625" style="19" customWidth="1"/>
    <col min="14331" max="14331" width="68.7109375" style="19" customWidth="1"/>
    <col min="14332" max="14332" width="15" style="19" customWidth="1"/>
    <col min="14333" max="14333" width="14.140625" style="19" bestFit="1" customWidth="1"/>
    <col min="14334" max="14334" width="16.5703125" style="19" customWidth="1"/>
    <col min="14335" max="14336" width="9.140625" style="19"/>
    <col min="14337" max="14337" width="8.7109375" style="19" customWidth="1"/>
    <col min="14338" max="14583" width="9.140625" style="19"/>
    <col min="14584" max="14584" width="15.28515625" style="19" customWidth="1"/>
    <col min="14585" max="14585" width="10.140625" style="19" customWidth="1"/>
    <col min="14586" max="14586" width="7.28515625" style="19" customWidth="1"/>
    <col min="14587" max="14587" width="68.7109375" style="19" customWidth="1"/>
    <col min="14588" max="14588" width="15" style="19" customWidth="1"/>
    <col min="14589" max="14589" width="14.140625" style="19" bestFit="1" customWidth="1"/>
    <col min="14590" max="14590" width="16.5703125" style="19" customWidth="1"/>
    <col min="14591" max="14592" width="9.140625" style="19"/>
    <col min="14593" max="14593" width="8.7109375" style="19" customWidth="1"/>
    <col min="14594" max="14839" width="9.140625" style="19"/>
    <col min="14840" max="14840" width="15.28515625" style="19" customWidth="1"/>
    <col min="14841" max="14841" width="10.140625" style="19" customWidth="1"/>
    <col min="14842" max="14842" width="7.28515625" style="19" customWidth="1"/>
    <col min="14843" max="14843" width="68.7109375" style="19" customWidth="1"/>
    <col min="14844" max="14844" width="15" style="19" customWidth="1"/>
    <col min="14845" max="14845" width="14.140625" style="19" bestFit="1" customWidth="1"/>
    <col min="14846" max="14846" width="16.5703125" style="19" customWidth="1"/>
    <col min="14847" max="14848" width="9.140625" style="19"/>
    <col min="14849" max="14849" width="8.7109375" style="19" customWidth="1"/>
    <col min="14850" max="15095" width="9.140625" style="19"/>
    <col min="15096" max="15096" width="15.28515625" style="19" customWidth="1"/>
    <col min="15097" max="15097" width="10.140625" style="19" customWidth="1"/>
    <col min="15098" max="15098" width="7.28515625" style="19" customWidth="1"/>
    <col min="15099" max="15099" width="68.7109375" style="19" customWidth="1"/>
    <col min="15100" max="15100" width="15" style="19" customWidth="1"/>
    <col min="15101" max="15101" width="14.140625" style="19" bestFit="1" customWidth="1"/>
    <col min="15102" max="15102" width="16.5703125" style="19" customWidth="1"/>
    <col min="15103" max="15104" width="9.140625" style="19"/>
    <col min="15105" max="15105" width="8.7109375" style="19" customWidth="1"/>
    <col min="15106" max="15351" width="9.140625" style="19"/>
    <col min="15352" max="15352" width="15.28515625" style="19" customWidth="1"/>
    <col min="15353" max="15353" width="10.140625" style="19" customWidth="1"/>
    <col min="15354" max="15354" width="7.28515625" style="19" customWidth="1"/>
    <col min="15355" max="15355" width="68.7109375" style="19" customWidth="1"/>
    <col min="15356" max="15356" width="15" style="19" customWidth="1"/>
    <col min="15357" max="15357" width="14.140625" style="19" bestFit="1" customWidth="1"/>
    <col min="15358" max="15358" width="16.5703125" style="19" customWidth="1"/>
    <col min="15359" max="15360" width="9.140625" style="19"/>
    <col min="15361" max="15361" width="8.7109375" style="19" customWidth="1"/>
    <col min="15362" max="15607" width="9.140625" style="19"/>
    <col min="15608" max="15608" width="15.28515625" style="19" customWidth="1"/>
    <col min="15609" max="15609" width="10.140625" style="19" customWidth="1"/>
    <col min="15610" max="15610" width="7.28515625" style="19" customWidth="1"/>
    <col min="15611" max="15611" width="68.7109375" style="19" customWidth="1"/>
    <col min="15612" max="15612" width="15" style="19" customWidth="1"/>
    <col min="15613" max="15613" width="14.140625" style="19" bestFit="1" customWidth="1"/>
    <col min="15614" max="15614" width="16.5703125" style="19" customWidth="1"/>
    <col min="15615" max="15616" width="9.140625" style="19"/>
    <col min="15617" max="15617" width="8.7109375" style="19" customWidth="1"/>
    <col min="15618" max="15863" width="9.140625" style="19"/>
    <col min="15864" max="15864" width="15.28515625" style="19" customWidth="1"/>
    <col min="15865" max="15865" width="10.140625" style="19" customWidth="1"/>
    <col min="15866" max="15866" width="7.28515625" style="19" customWidth="1"/>
    <col min="15867" max="15867" width="68.7109375" style="19" customWidth="1"/>
    <col min="15868" max="15868" width="15" style="19" customWidth="1"/>
    <col min="15869" max="15869" width="14.140625" style="19" bestFit="1" customWidth="1"/>
    <col min="15870" max="15870" width="16.5703125" style="19" customWidth="1"/>
    <col min="15871" max="15872" width="9.140625" style="19"/>
    <col min="15873" max="15873" width="8.7109375" style="19" customWidth="1"/>
    <col min="15874" max="16119" width="9.140625" style="19"/>
    <col min="16120" max="16120" width="15.28515625" style="19" customWidth="1"/>
    <col min="16121" max="16121" width="10.140625" style="19" customWidth="1"/>
    <col min="16122" max="16122" width="7.28515625" style="19" customWidth="1"/>
    <col min="16123" max="16123" width="68.7109375" style="19" customWidth="1"/>
    <col min="16124" max="16124" width="15" style="19" customWidth="1"/>
    <col min="16125" max="16125" width="14.140625" style="19" bestFit="1" customWidth="1"/>
    <col min="16126" max="16126" width="16.5703125" style="19" customWidth="1"/>
    <col min="16127" max="16128" width="9.140625" style="19"/>
    <col min="16129" max="16129" width="8.7109375" style="19" customWidth="1"/>
    <col min="16130" max="16384" width="9.140625" style="19"/>
  </cols>
  <sheetData>
    <row r="1" spans="1:12" ht="20.25">
      <c r="A1" s="665" t="s">
        <v>129</v>
      </c>
      <c r="B1" s="666"/>
      <c r="C1" s="666"/>
      <c r="D1" s="666"/>
      <c r="E1" s="666"/>
      <c r="F1" s="666"/>
      <c r="G1" s="666"/>
      <c r="H1" s="667"/>
    </row>
    <row r="2" spans="1:12" s="2" customFormat="1" ht="21" thickBot="1">
      <c r="A2" s="668" t="s">
        <v>130</v>
      </c>
      <c r="B2" s="669"/>
      <c r="C2" s="669"/>
      <c r="D2" s="669"/>
      <c r="E2" s="669"/>
      <c r="F2" s="669"/>
      <c r="G2" s="669"/>
      <c r="H2" s="670"/>
      <c r="J2" s="671" t="s">
        <v>131</v>
      </c>
      <c r="K2" s="672"/>
      <c r="L2" s="673"/>
    </row>
    <row r="3" spans="1:12" s="35" customFormat="1" ht="31.5">
      <c r="A3" s="200"/>
      <c r="B3" s="201" t="s">
        <v>132</v>
      </c>
      <c r="C3" s="202" t="s">
        <v>133</v>
      </c>
      <c r="D3" s="200" t="s">
        <v>134</v>
      </c>
      <c r="E3" s="200" t="s">
        <v>135</v>
      </c>
      <c r="F3" s="203" t="s">
        <v>136</v>
      </c>
      <c r="G3" s="203" t="s">
        <v>137</v>
      </c>
      <c r="H3" s="203" t="s">
        <v>138</v>
      </c>
      <c r="I3" s="77"/>
      <c r="J3" s="77"/>
      <c r="K3" s="77"/>
      <c r="L3" s="77"/>
    </row>
    <row r="4" spans="1:12" s="33" customFormat="1">
      <c r="A4" s="113" t="s">
        <v>139</v>
      </c>
      <c r="B4" s="196" t="s">
        <v>140</v>
      </c>
      <c r="C4" s="197" t="s">
        <v>141</v>
      </c>
      <c r="D4" s="36">
        <v>1</v>
      </c>
      <c r="E4" s="36" t="s">
        <v>3</v>
      </c>
      <c r="F4" s="198">
        <v>166.34</v>
      </c>
      <c r="G4" s="199">
        <f>D4*F4</f>
        <v>166.34</v>
      </c>
      <c r="H4" s="198" t="s">
        <v>142</v>
      </c>
      <c r="I4" s="79"/>
      <c r="J4" s="79"/>
      <c r="K4" s="79"/>
      <c r="L4" s="79"/>
    </row>
    <row r="5" spans="1:12" s="33" customFormat="1" ht="31.5">
      <c r="A5" s="113" t="s">
        <v>143</v>
      </c>
      <c r="B5" s="26" t="s">
        <v>144</v>
      </c>
      <c r="C5" s="30" t="s">
        <v>145</v>
      </c>
      <c r="D5" s="1">
        <v>1</v>
      </c>
      <c r="E5" s="1" t="s">
        <v>3</v>
      </c>
      <c r="F5" s="32">
        <v>309.85000000000002</v>
      </c>
      <c r="G5" s="199">
        <f t="shared" ref="G5:G38" si="0">D5*F5</f>
        <v>309.85000000000002</v>
      </c>
      <c r="H5" s="32" t="s">
        <v>142</v>
      </c>
      <c r="I5" s="79"/>
      <c r="J5" s="79"/>
      <c r="K5" s="79"/>
      <c r="L5" s="79"/>
    </row>
    <row r="6" spans="1:12" s="33" customFormat="1">
      <c r="A6" s="113" t="s">
        <v>146</v>
      </c>
      <c r="B6" s="26" t="s">
        <v>147</v>
      </c>
      <c r="C6" s="30" t="s">
        <v>148</v>
      </c>
      <c r="D6" s="1">
        <v>1</v>
      </c>
      <c r="E6" s="1" t="s">
        <v>3</v>
      </c>
      <c r="F6" s="32">
        <v>521.46</v>
      </c>
      <c r="G6" s="199">
        <f t="shared" si="0"/>
        <v>521.46</v>
      </c>
      <c r="H6" s="32" t="s">
        <v>142</v>
      </c>
      <c r="I6" s="79"/>
      <c r="J6" s="79"/>
      <c r="K6" s="79"/>
      <c r="L6" s="79"/>
    </row>
    <row r="7" spans="1:12" s="33" customFormat="1" ht="31.5">
      <c r="A7" s="113" t="s">
        <v>149</v>
      </c>
      <c r="B7" s="26" t="s">
        <v>150</v>
      </c>
      <c r="C7" s="30" t="s">
        <v>151</v>
      </c>
      <c r="D7" s="1">
        <v>4</v>
      </c>
      <c r="E7" s="1" t="s">
        <v>3</v>
      </c>
      <c r="F7" s="32">
        <v>121.19</v>
      </c>
      <c r="G7" s="199">
        <f t="shared" si="0"/>
        <v>484.76</v>
      </c>
      <c r="H7" s="32" t="s">
        <v>142</v>
      </c>
      <c r="I7" s="79"/>
      <c r="J7" s="79"/>
      <c r="K7" s="79"/>
      <c r="L7" s="79"/>
    </row>
    <row r="8" spans="1:12" s="33" customFormat="1">
      <c r="A8" s="113" t="s">
        <v>152</v>
      </c>
      <c r="B8" s="26" t="s">
        <v>153</v>
      </c>
      <c r="C8" s="30" t="s">
        <v>154</v>
      </c>
      <c r="D8" s="1">
        <v>6</v>
      </c>
      <c r="E8" s="1" t="s">
        <v>3</v>
      </c>
      <c r="F8" s="32">
        <v>44.95</v>
      </c>
      <c r="G8" s="199">
        <f t="shared" si="0"/>
        <v>269.70000000000005</v>
      </c>
      <c r="H8" s="32" t="s">
        <v>142</v>
      </c>
      <c r="I8" s="79"/>
      <c r="J8" s="79"/>
      <c r="K8" s="79"/>
      <c r="L8" s="79"/>
    </row>
    <row r="9" spans="1:12" s="33" customFormat="1" ht="31.5">
      <c r="A9" s="113" t="s">
        <v>155</v>
      </c>
      <c r="B9" s="26" t="s">
        <v>156</v>
      </c>
      <c r="C9" s="30" t="s">
        <v>157</v>
      </c>
      <c r="D9" s="1">
        <v>1</v>
      </c>
      <c r="E9" s="1" t="s">
        <v>3</v>
      </c>
      <c r="F9" s="32">
        <v>214.11</v>
      </c>
      <c r="G9" s="199">
        <f t="shared" si="0"/>
        <v>214.11</v>
      </c>
      <c r="H9" s="32" t="s">
        <v>142</v>
      </c>
      <c r="I9" s="79"/>
      <c r="J9" s="270"/>
      <c r="K9" s="270"/>
      <c r="L9" s="270"/>
    </row>
    <row r="10" spans="1:12" s="33" customFormat="1">
      <c r="A10" s="113" t="s">
        <v>158</v>
      </c>
      <c r="B10" s="26" t="s">
        <v>159</v>
      </c>
      <c r="C10" s="30" t="s">
        <v>160</v>
      </c>
      <c r="D10" s="1">
        <v>5</v>
      </c>
      <c r="E10" s="1" t="s">
        <v>3</v>
      </c>
      <c r="F10" s="32">
        <v>48.47</v>
      </c>
      <c r="G10" s="199">
        <f t="shared" si="0"/>
        <v>242.35</v>
      </c>
      <c r="H10" s="32" t="s">
        <v>142</v>
      </c>
      <c r="I10" s="79"/>
      <c r="J10" s="270"/>
      <c r="K10" s="270"/>
      <c r="L10" s="270"/>
    </row>
    <row r="11" spans="1:12" s="33" customFormat="1">
      <c r="A11" s="113" t="s">
        <v>161</v>
      </c>
      <c r="B11" s="26" t="s">
        <v>162</v>
      </c>
      <c r="C11" s="30" t="s">
        <v>163</v>
      </c>
      <c r="D11" s="1">
        <v>2</v>
      </c>
      <c r="E11" s="1" t="s">
        <v>3</v>
      </c>
      <c r="F11" s="32">
        <v>153.52000000000001</v>
      </c>
      <c r="G11" s="199">
        <f t="shared" si="0"/>
        <v>307.04000000000002</v>
      </c>
      <c r="H11" s="32" t="s">
        <v>142</v>
      </c>
      <c r="I11" s="79"/>
      <c r="J11" s="270"/>
      <c r="K11" s="270"/>
      <c r="L11" s="270"/>
    </row>
    <row r="12" spans="1:12" s="33" customFormat="1" ht="31.5">
      <c r="A12" s="113" t="s">
        <v>164</v>
      </c>
      <c r="B12" s="26" t="s">
        <v>165</v>
      </c>
      <c r="C12" s="30" t="s">
        <v>166</v>
      </c>
      <c r="D12" s="1">
        <v>2</v>
      </c>
      <c r="E12" s="1" t="s">
        <v>3</v>
      </c>
      <c r="F12" s="32">
        <v>102.52</v>
      </c>
      <c r="G12" s="199">
        <f>D12*F12</f>
        <v>205.04</v>
      </c>
      <c r="H12" s="32" t="s">
        <v>142</v>
      </c>
      <c r="I12" s="79"/>
      <c r="J12" s="270"/>
      <c r="K12" s="270"/>
      <c r="L12" s="270"/>
    </row>
    <row r="13" spans="1:12" s="33" customFormat="1">
      <c r="A13" s="113" t="s">
        <v>167</v>
      </c>
      <c r="B13" s="111">
        <v>6136</v>
      </c>
      <c r="C13" s="30" t="s">
        <v>168</v>
      </c>
      <c r="D13" s="1">
        <v>3</v>
      </c>
      <c r="E13" s="1" t="s">
        <v>3</v>
      </c>
      <c r="F13" s="32">
        <v>148.27000000000001</v>
      </c>
      <c r="G13" s="199">
        <f t="shared" si="0"/>
        <v>444.81000000000006</v>
      </c>
      <c r="H13" s="32" t="s">
        <v>142</v>
      </c>
      <c r="I13" s="79"/>
      <c r="J13" s="270"/>
      <c r="K13" s="270"/>
      <c r="L13" s="270"/>
    </row>
    <row r="14" spans="1:12" s="33" customFormat="1">
      <c r="A14" s="113" t="s">
        <v>169</v>
      </c>
      <c r="B14" s="111">
        <v>38638</v>
      </c>
      <c r="C14" s="30" t="s">
        <v>170</v>
      </c>
      <c r="D14" s="1">
        <v>2</v>
      </c>
      <c r="E14" s="1" t="s">
        <v>3</v>
      </c>
      <c r="F14" s="32">
        <v>157.03</v>
      </c>
      <c r="G14" s="199">
        <f t="shared" si="0"/>
        <v>314.06</v>
      </c>
      <c r="H14" s="32" t="s">
        <v>142</v>
      </c>
      <c r="I14" s="79"/>
      <c r="J14" s="270"/>
      <c r="K14" s="270"/>
      <c r="L14" s="270"/>
    </row>
    <row r="15" spans="1:12" s="33" customFormat="1" ht="31.5">
      <c r="A15" s="113" t="s">
        <v>171</v>
      </c>
      <c r="B15" s="111">
        <v>11560</v>
      </c>
      <c r="C15" s="30" t="s">
        <v>172</v>
      </c>
      <c r="D15" s="1">
        <v>4</v>
      </c>
      <c r="E15" s="1" t="s">
        <v>3</v>
      </c>
      <c r="F15" s="32">
        <v>177.86</v>
      </c>
      <c r="G15" s="199">
        <f t="shared" si="0"/>
        <v>711.44</v>
      </c>
      <c r="H15" s="32" t="s">
        <v>142</v>
      </c>
      <c r="I15" s="79"/>
      <c r="J15" s="270"/>
      <c r="K15" s="270"/>
      <c r="L15" s="270"/>
    </row>
    <row r="16" spans="1:12" s="33" customFormat="1" ht="31.5">
      <c r="A16" s="113" t="s">
        <v>173</v>
      </c>
      <c r="B16" s="111">
        <v>39636</v>
      </c>
      <c r="C16" s="90" t="s">
        <v>174</v>
      </c>
      <c r="D16" s="89">
        <v>5</v>
      </c>
      <c r="E16" s="89" t="s">
        <v>30</v>
      </c>
      <c r="F16" s="32">
        <v>200.72</v>
      </c>
      <c r="G16" s="199">
        <f t="shared" si="0"/>
        <v>1003.6</v>
      </c>
      <c r="H16" s="32" t="s">
        <v>142</v>
      </c>
      <c r="I16" s="79"/>
      <c r="J16" s="270"/>
      <c r="K16" s="270"/>
      <c r="L16" s="270"/>
    </row>
    <row r="17" spans="1:16" s="33" customFormat="1">
      <c r="A17" s="113" t="s">
        <v>175</v>
      </c>
      <c r="B17" s="111" t="s">
        <v>176</v>
      </c>
      <c r="C17" s="90" t="s">
        <v>177</v>
      </c>
      <c r="D17" s="89">
        <v>4</v>
      </c>
      <c r="E17" s="89" t="s">
        <v>3</v>
      </c>
      <c r="F17" s="32">
        <f>AVERAGE(J17:L17)</f>
        <v>1285.71</v>
      </c>
      <c r="G17" s="199">
        <f>D17*F17</f>
        <v>5142.84</v>
      </c>
      <c r="H17" s="32" t="s">
        <v>142</v>
      </c>
      <c r="I17" s="79"/>
      <c r="J17" s="270">
        <f>1324+36.13</f>
        <v>1360.13</v>
      </c>
      <c r="K17" s="270">
        <v>1562</v>
      </c>
      <c r="L17" s="270">
        <v>935</v>
      </c>
      <c r="M17" s="270"/>
    </row>
    <row r="18" spans="1:16" s="33" customFormat="1">
      <c r="A18" s="113" t="s">
        <v>178</v>
      </c>
      <c r="B18" s="111" t="s">
        <v>176</v>
      </c>
      <c r="C18" s="90" t="s">
        <v>1497</v>
      </c>
      <c r="D18" s="89">
        <v>4</v>
      </c>
      <c r="E18" s="89" t="s">
        <v>3</v>
      </c>
      <c r="F18" s="32">
        <f t="shared" ref="F18:F19" si="1">AVERAGE(J18:L18)</f>
        <v>280.03999999999996</v>
      </c>
      <c r="G18" s="199">
        <f t="shared" ref="G18:G20" si="2">D18*F18</f>
        <v>1120.1599999999999</v>
      </c>
      <c r="H18" s="32" t="s">
        <v>142</v>
      </c>
      <c r="I18" s="79"/>
      <c r="J18" s="270">
        <v>209.53</v>
      </c>
      <c r="K18" s="270">
        <v>345.88</v>
      </c>
      <c r="L18" s="270">
        <v>284.70999999999998</v>
      </c>
      <c r="M18" s="270"/>
    </row>
    <row r="19" spans="1:16">
      <c r="A19" s="113" t="s">
        <v>180</v>
      </c>
      <c r="B19" s="111" t="s">
        <v>176</v>
      </c>
      <c r="C19" s="30" t="s">
        <v>269</v>
      </c>
      <c r="D19" s="89">
        <v>4</v>
      </c>
      <c r="E19" s="89" t="s">
        <v>3</v>
      </c>
      <c r="F19" s="32">
        <f t="shared" si="1"/>
        <v>207.63333333333333</v>
      </c>
      <c r="G19" s="199">
        <f t="shared" si="2"/>
        <v>830.5333333333333</v>
      </c>
      <c r="H19" s="32" t="s">
        <v>142</v>
      </c>
      <c r="I19" s="78"/>
      <c r="J19" s="482">
        <v>186</v>
      </c>
      <c r="K19" s="482">
        <v>217</v>
      </c>
      <c r="L19" s="482">
        <v>219.9</v>
      </c>
      <c r="M19" s="13"/>
      <c r="N19" s="13"/>
      <c r="O19" s="13"/>
      <c r="P19" s="13"/>
    </row>
    <row r="20" spans="1:16" s="33" customFormat="1">
      <c r="A20" s="113" t="s">
        <v>182</v>
      </c>
      <c r="B20" s="111" t="s">
        <v>176</v>
      </c>
      <c r="C20" s="90" t="s">
        <v>179</v>
      </c>
      <c r="D20" s="89">
        <v>4</v>
      </c>
      <c r="E20" s="89" t="s">
        <v>3</v>
      </c>
      <c r="F20" s="32">
        <f>AVERAGE(J20:L20)</f>
        <v>1603.4850000000001</v>
      </c>
      <c r="G20" s="199">
        <f t="shared" si="2"/>
        <v>6413.9400000000005</v>
      </c>
      <c r="H20" s="32" t="s">
        <v>142</v>
      </c>
      <c r="I20" s="79"/>
      <c r="J20" s="270">
        <f>1423+33.68</f>
        <v>1456.68</v>
      </c>
      <c r="K20" s="270">
        <f>1750.29</f>
        <v>1750.29</v>
      </c>
      <c r="L20" s="270"/>
      <c r="M20" s="270"/>
    </row>
    <row r="21" spans="1:16" s="33" customFormat="1">
      <c r="A21" s="113" t="s">
        <v>186</v>
      </c>
      <c r="B21" s="111">
        <v>39961</v>
      </c>
      <c r="C21" s="90" t="s">
        <v>181</v>
      </c>
      <c r="D21" s="89">
        <v>5</v>
      </c>
      <c r="E21" s="89" t="s">
        <v>3</v>
      </c>
      <c r="F21" s="32">
        <v>24.91</v>
      </c>
      <c r="G21" s="199">
        <f t="shared" si="0"/>
        <v>124.55</v>
      </c>
      <c r="H21" s="32" t="s">
        <v>142</v>
      </c>
      <c r="I21" s="79"/>
      <c r="J21" s="270"/>
      <c r="K21" s="270"/>
      <c r="L21" s="270"/>
      <c r="M21" s="270"/>
    </row>
    <row r="22" spans="1:16" s="33" customFormat="1">
      <c r="A22" s="113" t="s">
        <v>188</v>
      </c>
      <c r="B22" s="111" t="s">
        <v>183</v>
      </c>
      <c r="C22" s="90" t="s">
        <v>184</v>
      </c>
      <c r="D22" s="89">
        <v>2</v>
      </c>
      <c r="E22" s="89" t="s">
        <v>24</v>
      </c>
      <c r="F22" s="32">
        <v>120.75</v>
      </c>
      <c r="G22" s="199">
        <f t="shared" si="0"/>
        <v>241.5</v>
      </c>
      <c r="H22" s="32" t="s">
        <v>142</v>
      </c>
      <c r="I22" s="79"/>
      <c r="J22" s="270"/>
      <c r="K22" s="270"/>
      <c r="L22" s="270"/>
      <c r="M22" s="270"/>
      <c r="N22" s="290" t="s">
        <v>185</v>
      </c>
    </row>
    <row r="23" spans="1:16" s="33" customFormat="1" ht="31.5">
      <c r="A23" s="113" t="s">
        <v>190</v>
      </c>
      <c r="B23" s="111" t="s">
        <v>176</v>
      </c>
      <c r="C23" s="90" t="s">
        <v>187</v>
      </c>
      <c r="D23" s="89">
        <v>3</v>
      </c>
      <c r="E23" s="89" t="s">
        <v>3</v>
      </c>
      <c r="F23" s="32">
        <f>AVERAGE(J23:N23)</f>
        <v>455.66199999999998</v>
      </c>
      <c r="G23" s="199">
        <f t="shared" si="0"/>
        <v>1366.9859999999999</v>
      </c>
      <c r="H23" s="32" t="s">
        <v>142</v>
      </c>
      <c r="I23" s="79"/>
      <c r="J23" s="270">
        <v>875.34</v>
      </c>
      <c r="K23" s="270">
        <f>264.16+29.81</f>
        <v>293.97000000000003</v>
      </c>
      <c r="L23" s="270">
        <v>369</v>
      </c>
      <c r="M23" s="270">
        <f>229.9+20.88</f>
        <v>250.78</v>
      </c>
      <c r="N23" s="33">
        <v>489.22</v>
      </c>
    </row>
    <row r="24" spans="1:16" s="33" customFormat="1">
      <c r="A24" s="113" t="s">
        <v>192</v>
      </c>
      <c r="B24" s="111">
        <v>43611</v>
      </c>
      <c r="C24" s="114" t="s">
        <v>189</v>
      </c>
      <c r="D24" s="89">
        <v>8</v>
      </c>
      <c r="E24" s="89" t="s">
        <v>3</v>
      </c>
      <c r="F24" s="32">
        <v>122.78</v>
      </c>
      <c r="G24" s="199">
        <f t="shared" si="0"/>
        <v>982.24</v>
      </c>
      <c r="H24" s="32" t="s">
        <v>142</v>
      </c>
      <c r="I24" s="79"/>
      <c r="J24" s="270"/>
      <c r="K24" s="270"/>
      <c r="L24" s="270"/>
    </row>
    <row r="25" spans="1:16" s="20" customFormat="1" ht="27.75" customHeight="1">
      <c r="A25" s="113" t="s">
        <v>195</v>
      </c>
      <c r="B25" s="111">
        <v>39516</v>
      </c>
      <c r="C25" s="204" t="s">
        <v>191</v>
      </c>
      <c r="D25" s="28">
        <v>10</v>
      </c>
      <c r="E25" s="1" t="s">
        <v>3</v>
      </c>
      <c r="F25" s="27">
        <v>52.64</v>
      </c>
      <c r="G25" s="199">
        <f t="shared" si="0"/>
        <v>526.4</v>
      </c>
      <c r="H25" s="32" t="s">
        <v>142</v>
      </c>
      <c r="I25" s="77"/>
      <c r="J25" s="271"/>
      <c r="K25" s="271"/>
      <c r="L25" s="271"/>
    </row>
    <row r="26" spans="1:16" s="20" customFormat="1">
      <c r="A26" s="113" t="s">
        <v>198</v>
      </c>
      <c r="B26" s="111">
        <v>11684</v>
      </c>
      <c r="C26" s="204" t="s">
        <v>193</v>
      </c>
      <c r="D26" s="28">
        <v>2</v>
      </c>
      <c r="E26" s="1" t="s">
        <v>3</v>
      </c>
      <c r="F26" s="27">
        <v>37.21</v>
      </c>
      <c r="G26" s="199">
        <f t="shared" si="0"/>
        <v>74.42</v>
      </c>
      <c r="H26" s="32" t="s">
        <v>194</v>
      </c>
      <c r="I26" s="77"/>
      <c r="J26" s="271"/>
      <c r="K26" s="271"/>
      <c r="L26" s="271"/>
    </row>
    <row r="27" spans="1:16" ht="63">
      <c r="A27" s="113" t="s">
        <v>200</v>
      </c>
      <c r="B27" s="259" t="s">
        <v>196</v>
      </c>
      <c r="C27" s="90" t="s">
        <v>197</v>
      </c>
      <c r="D27" s="1">
        <v>1</v>
      </c>
      <c r="E27" s="1" t="s">
        <v>3</v>
      </c>
      <c r="F27" s="32">
        <f>AVERAGE(J27:L27)</f>
        <v>4458.083333333333</v>
      </c>
      <c r="G27" s="199">
        <f t="shared" si="0"/>
        <v>4458.083333333333</v>
      </c>
      <c r="H27" s="32" t="s">
        <v>194</v>
      </c>
      <c r="I27" s="78"/>
      <c r="J27" s="243">
        <f>4413.08+209.11</f>
        <v>4622.1899999999996</v>
      </c>
      <c r="K27" s="243">
        <f>4144.17+83.97</f>
        <v>4228.1400000000003</v>
      </c>
      <c r="L27" s="243">
        <f>4297.96+225.96</f>
        <v>4523.92</v>
      </c>
    </row>
    <row r="28" spans="1:16" ht="47.25">
      <c r="A28" s="113" t="s">
        <v>202</v>
      </c>
      <c r="B28" s="259" t="s">
        <v>196</v>
      </c>
      <c r="C28" s="90" t="s">
        <v>199</v>
      </c>
      <c r="D28" s="1">
        <v>1</v>
      </c>
      <c r="E28" s="1" t="s">
        <v>3</v>
      </c>
      <c r="F28" s="32">
        <f t="shared" ref="F28:F32" si="3">AVERAGE(J28:L28)</f>
        <v>709.7600000000001</v>
      </c>
      <c r="G28" s="199">
        <f t="shared" si="0"/>
        <v>709.7600000000001</v>
      </c>
      <c r="H28" s="32" t="s">
        <v>194</v>
      </c>
      <c r="I28" s="78"/>
      <c r="J28" s="243">
        <f>665.34+54.01</f>
        <v>719.35</v>
      </c>
      <c r="K28" s="243">
        <f>713.98+83.97</f>
        <v>797.95</v>
      </c>
      <c r="L28" s="243">
        <f>563.99+47.99</f>
        <v>611.98</v>
      </c>
    </row>
    <row r="29" spans="1:16" ht="31.5">
      <c r="A29" s="113" t="s">
        <v>204</v>
      </c>
      <c r="B29" s="259" t="s">
        <v>196</v>
      </c>
      <c r="C29" s="90" t="s">
        <v>201</v>
      </c>
      <c r="D29" s="1">
        <v>1</v>
      </c>
      <c r="E29" s="1" t="s">
        <v>3</v>
      </c>
      <c r="F29" s="32">
        <f t="shared" si="3"/>
        <v>2161.4733333333334</v>
      </c>
      <c r="G29" s="199">
        <f t="shared" si="0"/>
        <v>2161.4733333333334</v>
      </c>
      <c r="H29" s="32" t="s">
        <v>194</v>
      </c>
      <c r="I29" s="78"/>
      <c r="J29" s="243">
        <f>2008.98+150.16</f>
        <v>2159.14</v>
      </c>
      <c r="K29" s="243">
        <f>1994.09+83.97</f>
        <v>2078.06</v>
      </c>
      <c r="L29" s="243">
        <f>2037.75+209.47</f>
        <v>2247.2199999999998</v>
      </c>
    </row>
    <row r="30" spans="1:16" ht="31.5">
      <c r="A30" s="113" t="s">
        <v>206</v>
      </c>
      <c r="B30" s="259" t="s">
        <v>196</v>
      </c>
      <c r="C30" s="90" t="s">
        <v>203</v>
      </c>
      <c r="D30" s="1">
        <v>1</v>
      </c>
      <c r="E30" s="1" t="s">
        <v>3</v>
      </c>
      <c r="F30" s="32">
        <f t="shared" si="3"/>
        <v>1203.1399999999999</v>
      </c>
      <c r="G30" s="199">
        <f t="shared" si="0"/>
        <v>1203.1399999999999</v>
      </c>
      <c r="H30" s="32" t="s">
        <v>194</v>
      </c>
      <c r="I30" s="78"/>
      <c r="J30" s="243">
        <f>1267.6+209.11</f>
        <v>1476.71</v>
      </c>
      <c r="K30" s="243">
        <f>989.14+83.97</f>
        <v>1073.1099999999999</v>
      </c>
      <c r="L30" s="243">
        <f>1009.99+49.61</f>
        <v>1059.5999999999999</v>
      </c>
    </row>
    <row r="31" spans="1:16" ht="31.5">
      <c r="A31" s="113" t="s">
        <v>208</v>
      </c>
      <c r="B31" s="259" t="s">
        <v>196</v>
      </c>
      <c r="C31" s="90" t="s">
        <v>205</v>
      </c>
      <c r="D31" s="1">
        <v>1</v>
      </c>
      <c r="E31" s="1" t="s">
        <v>3</v>
      </c>
      <c r="F31" s="32">
        <f t="shared" si="3"/>
        <v>7129.8266666666677</v>
      </c>
      <c r="G31" s="199">
        <f t="shared" si="0"/>
        <v>7129.8266666666677</v>
      </c>
      <c r="H31" s="32" t="s">
        <v>194</v>
      </c>
      <c r="I31" s="78"/>
      <c r="J31" s="243">
        <f>9215.47+209.11</f>
        <v>9424.58</v>
      </c>
      <c r="K31" s="243">
        <f>6780.08+83.97</f>
        <v>6864.05</v>
      </c>
      <c r="L31" s="243">
        <f>4845.21+255.64</f>
        <v>5100.8500000000004</v>
      </c>
    </row>
    <row r="32" spans="1:16" ht="47.25">
      <c r="A32" s="113" t="s">
        <v>211</v>
      </c>
      <c r="B32" s="259" t="s">
        <v>196</v>
      </c>
      <c r="C32" s="90" t="s">
        <v>207</v>
      </c>
      <c r="D32" s="1">
        <v>1</v>
      </c>
      <c r="E32" s="1" t="s">
        <v>3</v>
      </c>
      <c r="F32" s="32">
        <f t="shared" si="3"/>
        <v>4745.3900000000003</v>
      </c>
      <c r="G32" s="199">
        <f t="shared" si="0"/>
        <v>4745.3900000000003</v>
      </c>
      <c r="H32" s="32" t="s">
        <v>194</v>
      </c>
      <c r="I32" s="78"/>
      <c r="J32" s="243">
        <f>4584.36+209.11</f>
        <v>4793.4699999999993</v>
      </c>
      <c r="K32" s="243">
        <f>4257.88+83.97</f>
        <v>4341.8500000000004</v>
      </c>
      <c r="L32" s="243">
        <f>4845.21+255.64</f>
        <v>5100.8500000000004</v>
      </c>
    </row>
    <row r="33" spans="1:16">
      <c r="A33" s="113" t="s">
        <v>213</v>
      </c>
      <c r="B33" s="189" t="s">
        <v>209</v>
      </c>
      <c r="C33" s="30" t="s">
        <v>210</v>
      </c>
      <c r="D33" s="1">
        <v>5</v>
      </c>
      <c r="E33" s="1" t="s">
        <v>3</v>
      </c>
      <c r="F33" s="32">
        <v>37</v>
      </c>
      <c r="G33" s="199">
        <f t="shared" si="0"/>
        <v>185</v>
      </c>
      <c r="H33" s="32" t="s">
        <v>194</v>
      </c>
      <c r="I33" s="78"/>
      <c r="J33" s="195"/>
      <c r="K33" s="195"/>
      <c r="L33" s="195"/>
    </row>
    <row r="34" spans="1:16" ht="31.5">
      <c r="A34" s="113" t="s">
        <v>217</v>
      </c>
      <c r="B34" s="111">
        <v>14112</v>
      </c>
      <c r="C34" s="263" t="s">
        <v>212</v>
      </c>
      <c r="D34" s="28">
        <v>10</v>
      </c>
      <c r="E34" s="1" t="s">
        <v>3</v>
      </c>
      <c r="F34" s="32">
        <v>321.63</v>
      </c>
      <c r="G34" s="199">
        <f t="shared" si="0"/>
        <v>3216.3</v>
      </c>
      <c r="H34" s="32" t="s">
        <v>194</v>
      </c>
      <c r="I34" s="78"/>
      <c r="J34" s="195"/>
      <c r="K34" s="195"/>
      <c r="L34" s="195"/>
    </row>
    <row r="35" spans="1:16">
      <c r="A35" s="113" t="s">
        <v>219</v>
      </c>
      <c r="B35" s="26" t="s">
        <v>214</v>
      </c>
      <c r="C35" s="30" t="s">
        <v>215</v>
      </c>
      <c r="D35" s="1">
        <v>5</v>
      </c>
      <c r="E35" s="1" t="s">
        <v>3</v>
      </c>
      <c r="F35" s="32">
        <v>436.65</v>
      </c>
      <c r="G35" s="199">
        <f t="shared" si="0"/>
        <v>2183.25</v>
      </c>
      <c r="H35" s="32" t="s">
        <v>216</v>
      </c>
      <c r="I35" s="78"/>
      <c r="J35" s="195"/>
      <c r="K35" s="195"/>
      <c r="L35" s="195"/>
    </row>
    <row r="36" spans="1:16">
      <c r="A36" s="113" t="s">
        <v>221</v>
      </c>
      <c r="B36" s="111">
        <v>6011</v>
      </c>
      <c r="C36" s="114" t="s">
        <v>218</v>
      </c>
      <c r="D36" s="1">
        <v>2</v>
      </c>
      <c r="E36" s="1" t="s">
        <v>3</v>
      </c>
      <c r="F36" s="32">
        <v>305.18</v>
      </c>
      <c r="G36" s="199">
        <f t="shared" si="0"/>
        <v>610.36</v>
      </c>
      <c r="H36" s="32" t="s">
        <v>216</v>
      </c>
      <c r="I36" s="78"/>
      <c r="J36" s="195"/>
      <c r="K36" s="195"/>
      <c r="L36" s="195"/>
    </row>
    <row r="37" spans="1:16" ht="31.5">
      <c r="A37" s="113" t="s">
        <v>223</v>
      </c>
      <c r="B37" s="111">
        <v>37554</v>
      </c>
      <c r="C37" s="115" t="s">
        <v>220</v>
      </c>
      <c r="D37" s="1">
        <v>1</v>
      </c>
      <c r="E37" s="1" t="s">
        <v>3</v>
      </c>
      <c r="F37" s="32">
        <v>211.38</v>
      </c>
      <c r="G37" s="199">
        <f t="shared" si="0"/>
        <v>211.38</v>
      </c>
      <c r="H37" s="32" t="s">
        <v>216</v>
      </c>
      <c r="I37" s="78"/>
      <c r="J37" s="195"/>
      <c r="K37" s="195"/>
      <c r="L37" s="195"/>
    </row>
    <row r="38" spans="1:16" ht="31.5">
      <c r="A38" s="113" t="s">
        <v>225</v>
      </c>
      <c r="B38" s="111">
        <v>21044</v>
      </c>
      <c r="C38" s="115" t="s">
        <v>222</v>
      </c>
      <c r="D38" s="1">
        <v>5</v>
      </c>
      <c r="E38" s="1" t="s">
        <v>3</v>
      </c>
      <c r="F38" s="32">
        <v>35.770000000000003</v>
      </c>
      <c r="G38" s="264">
        <f t="shared" si="0"/>
        <v>178.85000000000002</v>
      </c>
      <c r="H38" s="32" t="s">
        <v>216</v>
      </c>
      <c r="I38" s="78"/>
      <c r="J38" s="195"/>
      <c r="K38" s="195"/>
      <c r="L38" s="195"/>
    </row>
    <row r="39" spans="1:16">
      <c r="A39" s="113" t="s">
        <v>228</v>
      </c>
      <c r="B39" s="111">
        <v>11451</v>
      </c>
      <c r="C39" s="265" t="s">
        <v>224</v>
      </c>
      <c r="D39" s="1">
        <f>3*3</f>
        <v>9</v>
      </c>
      <c r="E39" s="1" t="s">
        <v>3</v>
      </c>
      <c r="F39" s="32">
        <v>70.430000000000007</v>
      </c>
      <c r="G39" s="264">
        <f>D39*F39</f>
        <v>633.87000000000012</v>
      </c>
      <c r="H39" s="32" t="s">
        <v>216</v>
      </c>
      <c r="I39" s="78"/>
      <c r="J39" s="482" t="s">
        <v>50</v>
      </c>
      <c r="K39" s="482" t="s">
        <v>52</v>
      </c>
      <c r="L39" s="482" t="s">
        <v>1492</v>
      </c>
      <c r="M39" s="13" t="s">
        <v>1493</v>
      </c>
      <c r="N39" s="13" t="s">
        <v>1494</v>
      </c>
      <c r="O39" s="13" t="s">
        <v>1495</v>
      </c>
      <c r="P39" s="13" t="s">
        <v>1496</v>
      </c>
    </row>
    <row r="40" spans="1:16">
      <c r="A40" s="113" t="s">
        <v>230</v>
      </c>
      <c r="B40" s="26" t="s">
        <v>176</v>
      </c>
      <c r="C40" s="265" t="s">
        <v>226</v>
      </c>
      <c r="D40" s="1">
        <v>150</v>
      </c>
      <c r="E40" s="1" t="s">
        <v>3</v>
      </c>
      <c r="F40" s="32">
        <f>AVERAGE(J40:P40)</f>
        <v>6.8880000000000008</v>
      </c>
      <c r="G40" s="264">
        <f t="shared" ref="G40:G85" si="4">D40*F40</f>
        <v>1033.2</v>
      </c>
      <c r="H40" s="32" t="s">
        <v>227</v>
      </c>
      <c r="I40" s="78"/>
      <c r="J40" s="482"/>
      <c r="K40" s="482"/>
      <c r="L40" s="482">
        <v>6.99</v>
      </c>
      <c r="M40" s="482">
        <v>3.75</v>
      </c>
      <c r="N40" s="482">
        <v>11.5</v>
      </c>
      <c r="O40" s="482">
        <v>4.99</v>
      </c>
      <c r="P40" s="482">
        <v>7.21</v>
      </c>
    </row>
    <row r="41" spans="1:16">
      <c r="A41" s="113" t="s">
        <v>232</v>
      </c>
      <c r="B41" s="26" t="s">
        <v>176</v>
      </c>
      <c r="C41" s="265" t="s">
        <v>229</v>
      </c>
      <c r="D41" s="1">
        <v>50</v>
      </c>
      <c r="E41" s="1" t="s">
        <v>3</v>
      </c>
      <c r="F41" s="32">
        <f t="shared" ref="F41:F59" si="5">AVERAGE(J41:P41)</f>
        <v>30.466666666666665</v>
      </c>
      <c r="G41" s="264">
        <f t="shared" si="4"/>
        <v>1523.3333333333333</v>
      </c>
      <c r="H41" s="32" t="s">
        <v>227</v>
      </c>
      <c r="I41" s="78"/>
      <c r="J41" s="482">
        <v>29.38</v>
      </c>
      <c r="K41" s="482">
        <v>9.5399999999999991</v>
      </c>
      <c r="L41" s="482">
        <v>29.9</v>
      </c>
      <c r="M41" s="482">
        <v>35.08</v>
      </c>
      <c r="N41" s="482">
        <v>49.9</v>
      </c>
      <c r="O41" s="482"/>
      <c r="P41" s="482">
        <v>29</v>
      </c>
    </row>
    <row r="42" spans="1:16">
      <c r="A42" s="113" t="s">
        <v>234</v>
      </c>
      <c r="B42" s="26" t="s">
        <v>176</v>
      </c>
      <c r="C42" s="265" t="s">
        <v>231</v>
      </c>
      <c r="D42" s="1">
        <v>50</v>
      </c>
      <c r="E42" s="1" t="s">
        <v>3</v>
      </c>
      <c r="F42" s="32">
        <f t="shared" si="5"/>
        <v>77.825000000000003</v>
      </c>
      <c r="G42" s="264">
        <f t="shared" si="4"/>
        <v>3891.25</v>
      </c>
      <c r="H42" s="32" t="s">
        <v>227</v>
      </c>
      <c r="I42" s="78"/>
      <c r="J42" s="482">
        <v>79.75</v>
      </c>
      <c r="K42" s="482"/>
      <c r="L42" s="482">
        <v>65.900000000000006</v>
      </c>
      <c r="M42" s="482">
        <v>55.65</v>
      </c>
      <c r="N42" s="482">
        <v>110</v>
      </c>
      <c r="O42" s="482"/>
      <c r="P42" s="482"/>
    </row>
    <row r="43" spans="1:16">
      <c r="A43" s="113" t="s">
        <v>236</v>
      </c>
      <c r="B43" s="26" t="s">
        <v>176</v>
      </c>
      <c r="C43" s="265" t="s">
        <v>233</v>
      </c>
      <c r="D43" s="1">
        <v>20</v>
      </c>
      <c r="E43" s="1" t="s">
        <v>3</v>
      </c>
      <c r="F43" s="32">
        <f t="shared" si="5"/>
        <v>40.89</v>
      </c>
      <c r="G43" s="264">
        <f t="shared" si="4"/>
        <v>817.8</v>
      </c>
      <c r="H43" s="32" t="s">
        <v>227</v>
      </c>
      <c r="I43" s="78"/>
      <c r="J43" s="482"/>
      <c r="K43" s="482"/>
      <c r="L43" s="482">
        <v>39.9</v>
      </c>
      <c r="M43" s="482">
        <v>23.77</v>
      </c>
      <c r="N43" s="482">
        <v>59</v>
      </c>
      <c r="O43" s="482"/>
      <c r="P43" s="482"/>
    </row>
    <row r="44" spans="1:16">
      <c r="A44" s="113" t="s">
        <v>238</v>
      </c>
      <c r="B44" s="26" t="s">
        <v>176</v>
      </c>
      <c r="C44" s="265" t="s">
        <v>235</v>
      </c>
      <c r="D44" s="1">
        <v>100</v>
      </c>
      <c r="E44" s="1" t="s">
        <v>3</v>
      </c>
      <c r="F44" s="32">
        <f t="shared" si="5"/>
        <v>18.57</v>
      </c>
      <c r="G44" s="264">
        <f t="shared" si="4"/>
        <v>1857</v>
      </c>
      <c r="H44" s="32" t="s">
        <v>227</v>
      </c>
      <c r="I44" s="78"/>
      <c r="J44" s="482"/>
      <c r="K44" s="482">
        <v>47.62</v>
      </c>
      <c r="L44" s="482">
        <v>14.9</v>
      </c>
      <c r="M44" s="482">
        <v>10.5</v>
      </c>
      <c r="N44" s="482">
        <v>14.9</v>
      </c>
      <c r="O44" s="482">
        <v>13.6</v>
      </c>
      <c r="P44" s="482">
        <v>9.9</v>
      </c>
    </row>
    <row r="45" spans="1:16" ht="31.5">
      <c r="A45" s="113" t="s">
        <v>240</v>
      </c>
      <c r="B45" s="26" t="s">
        <v>176</v>
      </c>
      <c r="C45" s="265" t="s">
        <v>237</v>
      </c>
      <c r="D45" s="1">
        <v>50</v>
      </c>
      <c r="E45" s="1" t="s">
        <v>3</v>
      </c>
      <c r="F45" s="32">
        <f t="shared" si="5"/>
        <v>25.564</v>
      </c>
      <c r="G45" s="264">
        <f t="shared" si="4"/>
        <v>1278.2</v>
      </c>
      <c r="H45" s="32" t="s">
        <v>227</v>
      </c>
      <c r="I45" s="78"/>
      <c r="J45" s="482"/>
      <c r="K45" s="482">
        <v>14.51</v>
      </c>
      <c r="L45" s="482">
        <v>26.9</v>
      </c>
      <c r="M45" s="482">
        <v>46.68</v>
      </c>
      <c r="N45" s="482">
        <v>25.9</v>
      </c>
      <c r="O45" s="482">
        <v>13.83</v>
      </c>
      <c r="P45" s="482"/>
    </row>
    <row r="46" spans="1:16">
      <c r="A46" s="113" t="s">
        <v>242</v>
      </c>
      <c r="B46" s="26" t="s">
        <v>176</v>
      </c>
      <c r="C46" s="265" t="s">
        <v>239</v>
      </c>
      <c r="D46" s="1">
        <v>5</v>
      </c>
      <c r="E46" s="1" t="s">
        <v>3</v>
      </c>
      <c r="F46" s="32">
        <f t="shared" si="5"/>
        <v>62</v>
      </c>
      <c r="G46" s="264">
        <f t="shared" si="4"/>
        <v>310</v>
      </c>
      <c r="H46" s="32" t="s">
        <v>227</v>
      </c>
      <c r="I46" s="78"/>
      <c r="J46" s="482"/>
      <c r="K46" s="482"/>
      <c r="L46" s="482"/>
      <c r="M46" s="482"/>
      <c r="N46" s="482"/>
      <c r="O46" s="482"/>
      <c r="P46" s="482">
        <v>62</v>
      </c>
    </row>
    <row r="47" spans="1:16">
      <c r="A47" s="113" t="s">
        <v>244</v>
      </c>
      <c r="B47" s="26" t="s">
        <v>176</v>
      </c>
      <c r="C47" s="265" t="s">
        <v>241</v>
      </c>
      <c r="D47" s="1">
        <v>10</v>
      </c>
      <c r="E47" s="1" t="s">
        <v>3</v>
      </c>
      <c r="F47" s="32">
        <f t="shared" si="5"/>
        <v>26.436666666666667</v>
      </c>
      <c r="G47" s="264">
        <f t="shared" si="4"/>
        <v>264.36666666666667</v>
      </c>
      <c r="H47" s="32" t="s">
        <v>227</v>
      </c>
      <c r="I47" s="78"/>
      <c r="J47" s="482"/>
      <c r="K47" s="482"/>
      <c r="L47" s="482">
        <v>15.9</v>
      </c>
      <c r="M47" s="482">
        <v>27.51</v>
      </c>
      <c r="N47" s="482">
        <v>35.9</v>
      </c>
      <c r="O47" s="482"/>
      <c r="P47" s="482"/>
    </row>
    <row r="48" spans="1:16" ht="31.5">
      <c r="A48" s="113" t="s">
        <v>246</v>
      </c>
      <c r="B48" s="26" t="s">
        <v>176</v>
      </c>
      <c r="C48" s="265" t="s">
        <v>243</v>
      </c>
      <c r="D48" s="1">
        <v>300</v>
      </c>
      <c r="E48" s="1" t="s">
        <v>3</v>
      </c>
      <c r="F48" s="32">
        <f t="shared" si="5"/>
        <v>13.319999999999999</v>
      </c>
      <c r="G48" s="264">
        <f t="shared" si="4"/>
        <v>3995.9999999999995</v>
      </c>
      <c r="H48" s="32" t="s">
        <v>227</v>
      </c>
      <c r="I48" s="78"/>
      <c r="J48" s="482"/>
      <c r="K48" s="482"/>
      <c r="L48" s="482">
        <v>14.9</v>
      </c>
      <c r="M48" s="482">
        <v>12.9</v>
      </c>
      <c r="N48" s="482">
        <v>18.899999999999999</v>
      </c>
      <c r="O48" s="482">
        <v>11.9</v>
      </c>
      <c r="P48" s="482">
        <v>8</v>
      </c>
    </row>
    <row r="49" spans="1:16" ht="31.5">
      <c r="A49" s="113" t="s">
        <v>248</v>
      </c>
      <c r="B49" s="26" t="s">
        <v>176</v>
      </c>
      <c r="C49" s="265" t="s">
        <v>245</v>
      </c>
      <c r="D49" s="1">
        <v>5</v>
      </c>
      <c r="E49" s="1" t="s">
        <v>3</v>
      </c>
      <c r="F49" s="32">
        <f t="shared" si="5"/>
        <v>40.580000000000005</v>
      </c>
      <c r="G49" s="264">
        <f t="shared" si="4"/>
        <v>202.90000000000003</v>
      </c>
      <c r="H49" s="32" t="s">
        <v>227</v>
      </c>
      <c r="I49" s="78"/>
      <c r="J49" s="482"/>
      <c r="K49" s="482"/>
      <c r="L49" s="482"/>
      <c r="M49" s="482">
        <v>47.76</v>
      </c>
      <c r="N49" s="482">
        <v>56.8</v>
      </c>
      <c r="O49" s="482"/>
      <c r="P49" s="482">
        <v>17.18</v>
      </c>
    </row>
    <row r="50" spans="1:16">
      <c r="A50" s="113" t="s">
        <v>250</v>
      </c>
      <c r="B50" s="26" t="s">
        <v>176</v>
      </c>
      <c r="C50" s="30" t="s">
        <v>247</v>
      </c>
      <c r="D50" s="1">
        <v>5</v>
      </c>
      <c r="E50" s="1" t="s">
        <v>3</v>
      </c>
      <c r="F50" s="32">
        <f t="shared" si="5"/>
        <v>84.133999999999986</v>
      </c>
      <c r="G50" s="264">
        <f t="shared" si="4"/>
        <v>420.66999999999996</v>
      </c>
      <c r="H50" s="32" t="s">
        <v>227</v>
      </c>
      <c r="I50" s="78"/>
      <c r="J50" s="482">
        <v>176.38</v>
      </c>
      <c r="K50" s="482">
        <v>123.95</v>
      </c>
      <c r="L50" s="482"/>
      <c r="M50" s="482">
        <v>23.55</v>
      </c>
      <c r="N50" s="482"/>
      <c r="O50" s="482">
        <v>36.9</v>
      </c>
      <c r="P50" s="482">
        <v>59.89</v>
      </c>
    </row>
    <row r="51" spans="1:16">
      <c r="A51" s="113" t="s">
        <v>252</v>
      </c>
      <c r="B51" s="26" t="s">
        <v>176</v>
      </c>
      <c r="C51" s="30" t="s">
        <v>249</v>
      </c>
      <c r="D51" s="1">
        <v>25</v>
      </c>
      <c r="E51" s="1" t="s">
        <v>3</v>
      </c>
      <c r="F51" s="32">
        <f t="shared" si="5"/>
        <v>62.57</v>
      </c>
      <c r="G51" s="264">
        <f t="shared" si="4"/>
        <v>1564.25</v>
      </c>
      <c r="H51" s="32" t="s">
        <v>227</v>
      </c>
      <c r="I51" s="78"/>
      <c r="J51" s="482"/>
      <c r="K51" s="482"/>
      <c r="L51" s="482">
        <v>75.900000000000006</v>
      </c>
      <c r="M51" s="482">
        <v>41.81</v>
      </c>
      <c r="N51" s="482">
        <v>70</v>
      </c>
      <c r="O51" s="482"/>
      <c r="P51" s="482"/>
    </row>
    <row r="52" spans="1:16">
      <c r="A52" s="113" t="s">
        <v>254</v>
      </c>
      <c r="B52" s="26" t="s">
        <v>176</v>
      </c>
      <c r="C52" s="30" t="s">
        <v>251</v>
      </c>
      <c r="D52" s="1">
        <v>5</v>
      </c>
      <c r="E52" s="1" t="s">
        <v>3</v>
      </c>
      <c r="F52" s="32">
        <f t="shared" si="5"/>
        <v>258.51749999999998</v>
      </c>
      <c r="G52" s="264">
        <f t="shared" si="4"/>
        <v>1292.5874999999999</v>
      </c>
      <c r="H52" s="32" t="s">
        <v>227</v>
      </c>
      <c r="I52" s="78"/>
      <c r="J52" s="482"/>
      <c r="K52" s="482"/>
      <c r="L52" s="482">
        <v>320</v>
      </c>
      <c r="M52" s="482">
        <v>228.72</v>
      </c>
      <c r="N52" s="482">
        <v>399</v>
      </c>
      <c r="O52" s="482">
        <v>86.35</v>
      </c>
      <c r="P52" s="482"/>
    </row>
    <row r="53" spans="1:16">
      <c r="A53" s="113" t="s">
        <v>256</v>
      </c>
      <c r="B53" s="26" t="s">
        <v>176</v>
      </c>
      <c r="C53" s="30" t="s">
        <v>253</v>
      </c>
      <c r="D53" s="1">
        <v>5</v>
      </c>
      <c r="E53" s="1" t="s">
        <v>3</v>
      </c>
      <c r="F53" s="32">
        <f t="shared" si="5"/>
        <v>214</v>
      </c>
      <c r="G53" s="264">
        <f t="shared" si="4"/>
        <v>1070</v>
      </c>
      <c r="H53" s="32" t="s">
        <v>227</v>
      </c>
      <c r="I53" s="78"/>
      <c r="J53" s="482"/>
      <c r="K53" s="482"/>
      <c r="L53" s="482">
        <v>169</v>
      </c>
      <c r="M53" s="482">
        <v>148</v>
      </c>
      <c r="N53" s="482">
        <v>325</v>
      </c>
      <c r="O53" s="482"/>
      <c r="P53" s="482"/>
    </row>
    <row r="54" spans="1:16">
      <c r="A54" s="113" t="s">
        <v>258</v>
      </c>
      <c r="B54" s="26" t="s">
        <v>176</v>
      </c>
      <c r="C54" s="30" t="s">
        <v>255</v>
      </c>
      <c r="D54" s="1">
        <v>5</v>
      </c>
      <c r="E54" s="1" t="s">
        <v>3</v>
      </c>
      <c r="F54" s="32">
        <f t="shared" si="5"/>
        <v>85.95</v>
      </c>
      <c r="G54" s="264">
        <f t="shared" si="4"/>
        <v>429.75</v>
      </c>
      <c r="H54" s="32" t="s">
        <v>227</v>
      </c>
      <c r="I54" s="78"/>
      <c r="J54" s="482"/>
      <c r="K54" s="482"/>
      <c r="L54" s="482">
        <v>39.9</v>
      </c>
      <c r="M54" s="482"/>
      <c r="N54" s="482">
        <v>132</v>
      </c>
      <c r="O54" s="482"/>
      <c r="P54" s="482"/>
    </row>
    <row r="55" spans="1:16" ht="19.5" customHeight="1">
      <c r="A55" s="113" t="s">
        <v>260</v>
      </c>
      <c r="B55" s="26" t="s">
        <v>176</v>
      </c>
      <c r="C55" s="30" t="s">
        <v>257</v>
      </c>
      <c r="D55" s="1">
        <v>1</v>
      </c>
      <c r="E55" s="1" t="s">
        <v>3</v>
      </c>
      <c r="F55" s="32">
        <f t="shared" si="5"/>
        <v>224.8133333333333</v>
      </c>
      <c r="G55" s="264">
        <f t="shared" si="4"/>
        <v>224.8133333333333</v>
      </c>
      <c r="H55" s="32" t="s">
        <v>227</v>
      </c>
      <c r="I55" s="78"/>
      <c r="J55" s="482"/>
      <c r="K55" s="482"/>
      <c r="L55" s="482"/>
      <c r="M55" s="482">
        <v>246.56</v>
      </c>
      <c r="N55" s="482">
        <v>350</v>
      </c>
      <c r="O55" s="482"/>
      <c r="P55" s="482">
        <v>77.88</v>
      </c>
    </row>
    <row r="56" spans="1:16">
      <c r="A56" s="113" t="s">
        <v>262</v>
      </c>
      <c r="B56" s="26" t="s">
        <v>176</v>
      </c>
      <c r="C56" s="30" t="s">
        <v>259</v>
      </c>
      <c r="D56" s="1">
        <v>5</v>
      </c>
      <c r="E56" s="1" t="s">
        <v>3</v>
      </c>
      <c r="F56" s="32">
        <f t="shared" si="5"/>
        <v>71.443333333333328</v>
      </c>
      <c r="G56" s="264">
        <f t="shared" si="4"/>
        <v>357.21666666666664</v>
      </c>
      <c r="H56" s="32" t="s">
        <v>227</v>
      </c>
      <c r="I56" s="78"/>
      <c r="J56" s="482"/>
      <c r="K56" s="482"/>
      <c r="L56" s="482"/>
      <c r="M56" s="482">
        <v>62.97</v>
      </c>
      <c r="N56" s="482">
        <v>69</v>
      </c>
      <c r="O56" s="482"/>
      <c r="P56" s="482">
        <v>82.36</v>
      </c>
    </row>
    <row r="57" spans="1:16">
      <c r="A57" s="113" t="s">
        <v>264</v>
      </c>
      <c r="B57" s="26" t="s">
        <v>176</v>
      </c>
      <c r="C57" s="483" t="s">
        <v>261</v>
      </c>
      <c r="D57" s="1">
        <v>5</v>
      </c>
      <c r="E57" s="1" t="s">
        <v>3</v>
      </c>
      <c r="F57" s="32">
        <f t="shared" si="5"/>
        <v>21.452500000000001</v>
      </c>
      <c r="G57" s="264">
        <f t="shared" si="4"/>
        <v>107.2625</v>
      </c>
      <c r="H57" s="32" t="s">
        <v>227</v>
      </c>
      <c r="I57" s="78"/>
      <c r="J57" s="482">
        <v>32.9</v>
      </c>
      <c r="K57" s="482"/>
      <c r="L57" s="482">
        <v>12</v>
      </c>
      <c r="M57" s="482"/>
      <c r="N57" s="482">
        <v>17.899999999999999</v>
      </c>
      <c r="O57" s="482"/>
      <c r="P57" s="482">
        <v>23.01</v>
      </c>
    </row>
    <row r="58" spans="1:16">
      <c r="A58" s="113" t="s">
        <v>266</v>
      </c>
      <c r="B58" s="26" t="s">
        <v>176</v>
      </c>
      <c r="C58" s="483" t="s">
        <v>263</v>
      </c>
      <c r="D58" s="1">
        <v>5</v>
      </c>
      <c r="E58" s="1" t="s">
        <v>3</v>
      </c>
      <c r="F58" s="32">
        <f t="shared" si="5"/>
        <v>6.8725000000000005</v>
      </c>
      <c r="G58" s="264">
        <f t="shared" si="4"/>
        <v>34.362500000000004</v>
      </c>
      <c r="H58" s="32" t="s">
        <v>227</v>
      </c>
      <c r="I58" s="78"/>
      <c r="J58" s="482"/>
      <c r="K58" s="482"/>
      <c r="L58" s="482">
        <v>8.9</v>
      </c>
      <c r="M58" s="482">
        <v>2.41</v>
      </c>
      <c r="N58" s="482">
        <v>7.5</v>
      </c>
      <c r="O58" s="482"/>
      <c r="P58" s="482">
        <v>8.68</v>
      </c>
    </row>
    <row r="59" spans="1:16">
      <c r="A59" s="113" t="s">
        <v>268</v>
      </c>
      <c r="B59" s="26" t="s">
        <v>176</v>
      </c>
      <c r="C59" s="30" t="s">
        <v>265</v>
      </c>
      <c r="D59" s="1">
        <v>25</v>
      </c>
      <c r="E59" s="1" t="s">
        <v>3</v>
      </c>
      <c r="F59" s="32">
        <f t="shared" si="5"/>
        <v>13.996666666666664</v>
      </c>
      <c r="G59" s="264">
        <f t="shared" si="4"/>
        <v>349.91666666666663</v>
      </c>
      <c r="H59" s="32" t="s">
        <v>227</v>
      </c>
      <c r="I59" s="78"/>
      <c r="J59" s="482"/>
      <c r="K59" s="482"/>
      <c r="L59" s="482"/>
      <c r="M59" s="482">
        <v>5.86</v>
      </c>
      <c r="N59" s="482">
        <v>10</v>
      </c>
      <c r="O59" s="482"/>
      <c r="P59" s="482">
        <v>26.13</v>
      </c>
    </row>
    <row r="60" spans="1:16">
      <c r="A60" s="113" t="s">
        <v>270</v>
      </c>
      <c r="B60" s="26" t="s">
        <v>176</v>
      </c>
      <c r="C60" s="30" t="s">
        <v>267</v>
      </c>
      <c r="D60" s="1">
        <v>30</v>
      </c>
      <c r="E60" s="1" t="s">
        <v>3</v>
      </c>
      <c r="F60" s="32">
        <v>34.64</v>
      </c>
      <c r="G60" s="264">
        <f t="shared" si="4"/>
        <v>1039.2</v>
      </c>
      <c r="H60" s="32" t="s">
        <v>227</v>
      </c>
      <c r="I60" s="78"/>
      <c r="J60" s="482"/>
      <c r="K60" s="482"/>
      <c r="L60" s="482"/>
      <c r="M60" s="13"/>
      <c r="N60" s="13"/>
      <c r="O60" s="13"/>
      <c r="P60" s="482"/>
    </row>
    <row r="61" spans="1:16" ht="31.5">
      <c r="A61" s="113" t="s">
        <v>273</v>
      </c>
      <c r="B61" s="26" t="s">
        <v>271</v>
      </c>
      <c r="C61" s="30" t="s">
        <v>272</v>
      </c>
      <c r="D61" s="1">
        <v>10</v>
      </c>
      <c r="E61" s="1" t="s">
        <v>3</v>
      </c>
      <c r="F61" s="10">
        <v>52.9</v>
      </c>
      <c r="G61" s="264">
        <f t="shared" si="4"/>
        <v>529</v>
      </c>
      <c r="H61" s="32" t="s">
        <v>227</v>
      </c>
      <c r="I61" s="78"/>
      <c r="J61" s="482"/>
      <c r="K61" s="482"/>
      <c r="L61" s="482"/>
      <c r="M61" s="13"/>
      <c r="N61" s="13"/>
      <c r="O61" s="13"/>
      <c r="P61" s="13"/>
    </row>
    <row r="62" spans="1:16" ht="31.5">
      <c r="A62" s="113" t="s">
        <v>276</v>
      </c>
      <c r="B62" s="31" t="s">
        <v>274</v>
      </c>
      <c r="C62" s="30" t="s">
        <v>275</v>
      </c>
      <c r="D62" s="1">
        <v>6</v>
      </c>
      <c r="E62" s="1" t="s">
        <v>3</v>
      </c>
      <c r="F62" s="10">
        <v>27.4</v>
      </c>
      <c r="G62" s="264">
        <f t="shared" si="4"/>
        <v>164.39999999999998</v>
      </c>
      <c r="H62" s="32" t="s">
        <v>227</v>
      </c>
      <c r="I62" s="78"/>
      <c r="J62" s="195"/>
      <c r="K62" s="195"/>
      <c r="L62" s="195"/>
    </row>
    <row r="63" spans="1:16">
      <c r="A63" s="113" t="s">
        <v>279</v>
      </c>
      <c r="B63" s="26" t="s">
        <v>277</v>
      </c>
      <c r="C63" s="30" t="s">
        <v>278</v>
      </c>
      <c r="D63" s="1">
        <v>100</v>
      </c>
      <c r="E63" s="1" t="s">
        <v>24</v>
      </c>
      <c r="F63" s="10">
        <v>7.36</v>
      </c>
      <c r="G63" s="264">
        <f t="shared" si="4"/>
        <v>736</v>
      </c>
      <c r="H63" s="32" t="s">
        <v>227</v>
      </c>
      <c r="I63" s="78"/>
      <c r="J63" s="195"/>
      <c r="K63" s="195"/>
      <c r="L63" s="195"/>
    </row>
    <row r="64" spans="1:16">
      <c r="A64" s="113" t="s">
        <v>281</v>
      </c>
      <c r="B64" s="31" t="s">
        <v>280</v>
      </c>
      <c r="C64" s="3" t="s">
        <v>43</v>
      </c>
      <c r="D64" s="1">
        <v>5</v>
      </c>
      <c r="E64" s="1" t="s">
        <v>3</v>
      </c>
      <c r="F64" s="10">
        <v>30.69</v>
      </c>
      <c r="G64" s="264">
        <f t="shared" si="4"/>
        <v>153.45000000000002</v>
      </c>
      <c r="H64" s="32" t="s">
        <v>227</v>
      </c>
      <c r="I64" s="78"/>
      <c r="J64" s="195"/>
      <c r="K64" s="195"/>
      <c r="L64" s="195"/>
    </row>
    <row r="65" spans="1:12">
      <c r="A65" s="113" t="s">
        <v>283</v>
      </c>
      <c r="B65" s="31" t="s">
        <v>282</v>
      </c>
      <c r="C65" s="3" t="s">
        <v>44</v>
      </c>
      <c r="D65" s="1">
        <v>30</v>
      </c>
      <c r="E65" s="1" t="s">
        <v>3</v>
      </c>
      <c r="F65" s="10">
        <v>3.27</v>
      </c>
      <c r="G65" s="264">
        <f t="shared" si="4"/>
        <v>98.1</v>
      </c>
      <c r="H65" s="32" t="s">
        <v>227</v>
      </c>
      <c r="I65" s="78"/>
      <c r="J65" s="195"/>
      <c r="K65" s="195"/>
      <c r="L65" s="195"/>
    </row>
    <row r="66" spans="1:12">
      <c r="A66" s="113" t="s">
        <v>286</v>
      </c>
      <c r="B66" s="26" t="s">
        <v>284</v>
      </c>
      <c r="C66" s="29" t="s">
        <v>285</v>
      </c>
      <c r="D66" s="28">
        <v>50</v>
      </c>
      <c r="E66" s="34" t="s">
        <v>24</v>
      </c>
      <c r="F66" s="10">
        <v>2.42</v>
      </c>
      <c r="G66" s="264">
        <f t="shared" si="4"/>
        <v>121</v>
      </c>
      <c r="H66" s="32" t="s">
        <v>227</v>
      </c>
      <c r="I66" s="78"/>
      <c r="J66" s="195"/>
      <c r="K66" s="195"/>
      <c r="L66" s="195"/>
    </row>
    <row r="67" spans="1:12">
      <c r="A67" s="113" t="s">
        <v>289</v>
      </c>
      <c r="B67" s="26" t="s">
        <v>287</v>
      </c>
      <c r="C67" s="29" t="s">
        <v>288</v>
      </c>
      <c r="D67" s="28">
        <v>100</v>
      </c>
      <c r="E67" s="34" t="s">
        <v>24</v>
      </c>
      <c r="F67" s="10">
        <v>4.0199999999999996</v>
      </c>
      <c r="G67" s="264">
        <f t="shared" si="4"/>
        <v>401.99999999999994</v>
      </c>
      <c r="H67" s="32" t="s">
        <v>227</v>
      </c>
      <c r="I67" s="78"/>
      <c r="J67" s="195"/>
      <c r="K67" s="195"/>
      <c r="L67" s="195"/>
    </row>
    <row r="68" spans="1:12">
      <c r="A68" s="113" t="s">
        <v>292</v>
      </c>
      <c r="B68" s="26" t="s">
        <v>290</v>
      </c>
      <c r="C68" s="29" t="s">
        <v>291</v>
      </c>
      <c r="D68" s="28">
        <v>30</v>
      </c>
      <c r="E68" s="34" t="s">
        <v>24</v>
      </c>
      <c r="F68" s="10">
        <v>6.1</v>
      </c>
      <c r="G68" s="264">
        <f t="shared" si="4"/>
        <v>183</v>
      </c>
      <c r="H68" s="32" t="s">
        <v>227</v>
      </c>
      <c r="I68" s="78"/>
      <c r="J68" s="195"/>
      <c r="K68" s="195"/>
      <c r="L68" s="195"/>
    </row>
    <row r="69" spans="1:12">
      <c r="A69" s="113" t="s">
        <v>295</v>
      </c>
      <c r="B69" s="26" t="s">
        <v>293</v>
      </c>
      <c r="C69" s="29" t="s">
        <v>294</v>
      </c>
      <c r="D69" s="28">
        <v>100</v>
      </c>
      <c r="E69" s="34" t="s">
        <v>24</v>
      </c>
      <c r="F69" s="10">
        <v>15.12</v>
      </c>
      <c r="G69" s="264">
        <f t="shared" si="4"/>
        <v>1512</v>
      </c>
      <c r="H69" s="32" t="s">
        <v>227</v>
      </c>
      <c r="I69" s="78"/>
      <c r="J69" s="195"/>
      <c r="K69" s="195"/>
      <c r="L69" s="195"/>
    </row>
    <row r="70" spans="1:12">
      <c r="A70" s="113" t="s">
        <v>298</v>
      </c>
      <c r="B70" s="26" t="s">
        <v>296</v>
      </c>
      <c r="C70" s="29" t="s">
        <v>297</v>
      </c>
      <c r="D70" s="28">
        <v>2</v>
      </c>
      <c r="E70" s="1" t="s">
        <v>3</v>
      </c>
      <c r="F70" s="10">
        <v>77.900000000000006</v>
      </c>
      <c r="G70" s="264">
        <f t="shared" si="4"/>
        <v>155.80000000000001</v>
      </c>
      <c r="H70" s="32" t="s">
        <v>227</v>
      </c>
      <c r="I70" s="78"/>
      <c r="J70" s="195"/>
      <c r="K70" s="195"/>
      <c r="L70" s="195"/>
    </row>
    <row r="71" spans="1:12">
      <c r="A71" s="113" t="s">
        <v>301</v>
      </c>
      <c r="B71" s="26" t="s">
        <v>299</v>
      </c>
      <c r="C71" s="29" t="s">
        <v>300</v>
      </c>
      <c r="D71" s="28">
        <v>1</v>
      </c>
      <c r="E71" s="1" t="s">
        <v>3</v>
      </c>
      <c r="F71" s="10">
        <v>234.93</v>
      </c>
      <c r="G71" s="264">
        <f t="shared" si="4"/>
        <v>234.93</v>
      </c>
      <c r="H71" s="32" t="s">
        <v>227</v>
      </c>
      <c r="I71" s="78"/>
      <c r="J71" s="195"/>
      <c r="K71" s="195"/>
      <c r="L71" s="195"/>
    </row>
    <row r="72" spans="1:12">
      <c r="A72" s="113" t="s">
        <v>304</v>
      </c>
      <c r="B72" s="26" t="s">
        <v>302</v>
      </c>
      <c r="C72" s="29" t="s">
        <v>303</v>
      </c>
      <c r="D72" s="28">
        <v>1</v>
      </c>
      <c r="E72" s="1" t="s">
        <v>3</v>
      </c>
      <c r="F72" s="10">
        <v>236.33</v>
      </c>
      <c r="G72" s="264">
        <f t="shared" si="4"/>
        <v>236.33</v>
      </c>
      <c r="H72" s="32" t="s">
        <v>227</v>
      </c>
      <c r="I72" s="78"/>
      <c r="J72" s="195"/>
      <c r="K72" s="195"/>
      <c r="L72" s="195"/>
    </row>
    <row r="73" spans="1:12">
      <c r="A73" s="113" t="s">
        <v>307</v>
      </c>
      <c r="B73" s="26" t="s">
        <v>305</v>
      </c>
      <c r="C73" s="29" t="s">
        <v>306</v>
      </c>
      <c r="D73" s="28">
        <v>2</v>
      </c>
      <c r="E73" s="1" t="s">
        <v>3</v>
      </c>
      <c r="F73" s="10">
        <v>16</v>
      </c>
      <c r="G73" s="264">
        <f t="shared" si="4"/>
        <v>32</v>
      </c>
      <c r="H73" s="32" t="s">
        <v>227</v>
      </c>
      <c r="I73" s="78"/>
      <c r="J73" s="195"/>
      <c r="K73" s="195"/>
      <c r="L73" s="195"/>
    </row>
    <row r="74" spans="1:12">
      <c r="A74" s="113" t="s">
        <v>310</v>
      </c>
      <c r="B74" s="26" t="s">
        <v>308</v>
      </c>
      <c r="C74" s="29" t="s">
        <v>309</v>
      </c>
      <c r="D74" s="28">
        <v>2</v>
      </c>
      <c r="E74" s="1" t="s">
        <v>3</v>
      </c>
      <c r="F74" s="10">
        <v>26.84</v>
      </c>
      <c r="G74" s="264">
        <f t="shared" si="4"/>
        <v>53.68</v>
      </c>
      <c r="H74" s="32" t="s">
        <v>227</v>
      </c>
      <c r="I74" s="78"/>
      <c r="J74" s="195"/>
      <c r="K74" s="195"/>
      <c r="L74" s="195"/>
    </row>
    <row r="75" spans="1:12">
      <c r="A75" s="113" t="s">
        <v>313</v>
      </c>
      <c r="B75" s="26" t="s">
        <v>311</v>
      </c>
      <c r="C75" s="29" t="s">
        <v>312</v>
      </c>
      <c r="D75" s="28">
        <v>1</v>
      </c>
      <c r="E75" s="1" t="s">
        <v>3</v>
      </c>
      <c r="F75" s="10">
        <v>473.24</v>
      </c>
      <c r="G75" s="264">
        <f t="shared" si="4"/>
        <v>473.24</v>
      </c>
      <c r="H75" s="32" t="s">
        <v>227</v>
      </c>
      <c r="I75" s="78"/>
      <c r="J75" s="195"/>
      <c r="K75" s="195"/>
      <c r="L75" s="195"/>
    </row>
    <row r="76" spans="1:12">
      <c r="A76" s="113" t="s">
        <v>316</v>
      </c>
      <c r="B76" s="26" t="s">
        <v>314</v>
      </c>
      <c r="C76" s="29" t="s">
        <v>315</v>
      </c>
      <c r="D76" s="28">
        <v>2</v>
      </c>
      <c r="E76" s="1" t="s">
        <v>3</v>
      </c>
      <c r="F76" s="190">
        <v>17.18</v>
      </c>
      <c r="G76" s="11">
        <f t="shared" si="4"/>
        <v>34.36</v>
      </c>
      <c r="H76" s="32" t="s">
        <v>227</v>
      </c>
      <c r="I76" s="78"/>
      <c r="J76" s="195"/>
      <c r="K76" s="195"/>
      <c r="L76" s="195"/>
    </row>
    <row r="77" spans="1:12">
      <c r="A77" s="113" t="s">
        <v>319</v>
      </c>
      <c r="B77" s="26" t="s">
        <v>317</v>
      </c>
      <c r="C77" s="29" t="s">
        <v>318</v>
      </c>
      <c r="D77" s="28">
        <v>2</v>
      </c>
      <c r="E77" s="1" t="s">
        <v>3</v>
      </c>
      <c r="F77" s="190">
        <v>28.79</v>
      </c>
      <c r="G77" s="11">
        <f t="shared" si="4"/>
        <v>57.58</v>
      </c>
      <c r="H77" s="32" t="s">
        <v>227</v>
      </c>
      <c r="I77" s="78"/>
      <c r="J77" s="195"/>
      <c r="K77" s="195"/>
      <c r="L77" s="195"/>
    </row>
    <row r="78" spans="1:12">
      <c r="A78" s="113" t="s">
        <v>322</v>
      </c>
      <c r="B78" s="26" t="s">
        <v>320</v>
      </c>
      <c r="C78" s="29" t="s">
        <v>321</v>
      </c>
      <c r="D78" s="28">
        <v>3</v>
      </c>
      <c r="E78" s="1" t="s">
        <v>3</v>
      </c>
      <c r="F78" s="190">
        <v>9.27</v>
      </c>
      <c r="G78" s="11">
        <f t="shared" si="4"/>
        <v>27.81</v>
      </c>
      <c r="H78" s="32" t="s">
        <v>227</v>
      </c>
      <c r="I78" s="78"/>
      <c r="J78" s="195"/>
      <c r="K78" s="195"/>
      <c r="L78" s="195"/>
    </row>
    <row r="79" spans="1:12">
      <c r="A79" s="113" t="s">
        <v>325</v>
      </c>
      <c r="B79" s="26" t="s">
        <v>323</v>
      </c>
      <c r="C79" s="29" t="s">
        <v>324</v>
      </c>
      <c r="D79" s="28">
        <v>3</v>
      </c>
      <c r="E79" s="1" t="s">
        <v>3</v>
      </c>
      <c r="F79" s="190">
        <v>11.87</v>
      </c>
      <c r="G79" s="11">
        <f t="shared" si="4"/>
        <v>35.61</v>
      </c>
      <c r="H79" s="32" t="s">
        <v>227</v>
      </c>
      <c r="I79" s="78"/>
      <c r="J79" s="195"/>
      <c r="K79" s="195"/>
      <c r="L79" s="195"/>
    </row>
    <row r="80" spans="1:12">
      <c r="A80" s="113" t="s">
        <v>329</v>
      </c>
      <c r="B80" s="26" t="s">
        <v>326</v>
      </c>
      <c r="C80" s="90" t="s">
        <v>327</v>
      </c>
      <c r="D80" s="28">
        <v>2</v>
      </c>
      <c r="E80" s="1" t="s">
        <v>3</v>
      </c>
      <c r="F80" s="190">
        <f>7.27*45</f>
        <v>327.14999999999998</v>
      </c>
      <c r="G80" s="11">
        <f t="shared" si="4"/>
        <v>654.29999999999995</v>
      </c>
      <c r="H80" s="269" t="s">
        <v>328</v>
      </c>
      <c r="I80" s="78"/>
      <c r="J80" s="195"/>
      <c r="K80" s="195"/>
      <c r="L80" s="195"/>
    </row>
    <row r="81" spans="1:13">
      <c r="A81" s="113" t="s">
        <v>331</v>
      </c>
      <c r="B81" s="189" t="s">
        <v>176</v>
      </c>
      <c r="C81" s="267" t="s">
        <v>330</v>
      </c>
      <c r="D81" s="268">
        <v>5</v>
      </c>
      <c r="E81" s="1" t="s">
        <v>3</v>
      </c>
      <c r="F81" s="190">
        <f>AVERAGE(J81:L81)</f>
        <v>8652.7733333333326</v>
      </c>
      <c r="G81" s="11">
        <f t="shared" si="4"/>
        <v>43263.866666666661</v>
      </c>
      <c r="H81" s="269" t="s">
        <v>328</v>
      </c>
      <c r="I81" s="78"/>
      <c r="J81" s="195">
        <f>7650+19.9</f>
        <v>7669.9</v>
      </c>
      <c r="K81" s="195">
        <v>8408.5499999999993</v>
      </c>
      <c r="L81" s="195">
        <v>9879.8700000000008</v>
      </c>
    </row>
    <row r="82" spans="1:13" s="78" customFormat="1" ht="15.75">
      <c r="A82" s="113" t="s">
        <v>333</v>
      </c>
      <c r="B82" s="189" t="s">
        <v>176</v>
      </c>
      <c r="C82" s="158" t="s">
        <v>332</v>
      </c>
      <c r="D82" s="157">
        <v>3</v>
      </c>
      <c r="E82" s="1" t="s">
        <v>3</v>
      </c>
      <c r="F82" s="190">
        <f>L82</f>
        <v>18407.73</v>
      </c>
      <c r="G82" s="11">
        <f t="shared" si="4"/>
        <v>55223.19</v>
      </c>
      <c r="H82" s="269" t="s">
        <v>328</v>
      </c>
      <c r="J82" s="195"/>
      <c r="K82" s="195"/>
      <c r="L82" s="195">
        <v>18407.73</v>
      </c>
    </row>
    <row r="83" spans="1:13">
      <c r="A83" s="113" t="s">
        <v>335</v>
      </c>
      <c r="B83" s="189" t="s">
        <v>176</v>
      </c>
      <c r="C83" s="267" t="s">
        <v>334</v>
      </c>
      <c r="D83" s="268">
        <v>9</v>
      </c>
      <c r="E83" s="1" t="s">
        <v>3</v>
      </c>
      <c r="F83" s="190">
        <f>AVERAGE(J83:M83)</f>
        <v>4634.5950000000003</v>
      </c>
      <c r="G83" s="11">
        <f t="shared" si="4"/>
        <v>41711.355000000003</v>
      </c>
      <c r="H83" s="269" t="s">
        <v>328</v>
      </c>
      <c r="I83" s="78"/>
      <c r="J83" s="195">
        <f>4513.4+26.34</f>
        <v>4539.74</v>
      </c>
      <c r="K83" s="195">
        <v>4697.1000000000004</v>
      </c>
      <c r="L83" s="195">
        <f>4592.9+51.94</f>
        <v>4644.8399999999992</v>
      </c>
      <c r="M83" s="195">
        <v>4656.7</v>
      </c>
    </row>
    <row r="84" spans="1:13">
      <c r="A84" s="113" t="s">
        <v>337</v>
      </c>
      <c r="B84" s="189" t="s">
        <v>176</v>
      </c>
      <c r="C84" s="267" t="s">
        <v>336</v>
      </c>
      <c r="D84" s="268">
        <v>8</v>
      </c>
      <c r="E84" s="1" t="s">
        <v>3</v>
      </c>
      <c r="F84" s="190">
        <v>125.3</v>
      </c>
      <c r="G84" s="11">
        <f t="shared" si="4"/>
        <v>1002.4</v>
      </c>
      <c r="H84" s="269" t="s">
        <v>328</v>
      </c>
      <c r="I84" s="78"/>
      <c r="J84" s="195"/>
      <c r="K84" s="195"/>
      <c r="L84" s="195"/>
      <c r="M84" s="195"/>
    </row>
    <row r="85" spans="1:13">
      <c r="A85" s="113" t="s">
        <v>1498</v>
      </c>
      <c r="B85" s="189" t="s">
        <v>176</v>
      </c>
      <c r="C85" s="267" t="s">
        <v>338</v>
      </c>
      <c r="D85" s="268">
        <v>8</v>
      </c>
      <c r="E85" s="1" t="s">
        <v>3</v>
      </c>
      <c r="F85" s="190">
        <v>1047.82</v>
      </c>
      <c r="G85" s="11">
        <f t="shared" si="4"/>
        <v>8382.56</v>
      </c>
      <c r="H85" s="269" t="s">
        <v>328</v>
      </c>
      <c r="I85" s="78"/>
      <c r="J85" s="195"/>
      <c r="K85" s="195"/>
      <c r="L85" s="195"/>
    </row>
    <row r="86" spans="1:13">
      <c r="I86" s="78"/>
      <c r="J86" s="195"/>
      <c r="K86" s="195"/>
      <c r="L86" s="195"/>
    </row>
    <row r="87" spans="1:13">
      <c r="A87" s="664" t="s">
        <v>339</v>
      </c>
      <c r="B87" s="664"/>
      <c r="C87" s="664"/>
      <c r="D87" s="664"/>
      <c r="E87" s="664"/>
      <c r="F87" s="664"/>
      <c r="G87" s="266">
        <f>SUM(G4:G86)</f>
        <v>227186.8535</v>
      </c>
      <c r="I87" s="78"/>
      <c r="J87" s="195"/>
      <c r="K87" s="195"/>
      <c r="L87" s="195"/>
    </row>
    <row r="88" spans="1:13">
      <c r="A88" s="664" t="s">
        <v>340</v>
      </c>
      <c r="B88" s="664"/>
      <c r="C88" s="664"/>
      <c r="D88" s="664"/>
      <c r="E88" s="664"/>
      <c r="F88" s="664"/>
      <c r="G88" s="292">
        <f>BDI!O14</f>
        <v>0.22391624455096393</v>
      </c>
      <c r="I88" s="78"/>
      <c r="J88" s="195"/>
      <c r="K88" s="195"/>
      <c r="L88" s="195"/>
    </row>
    <row r="89" spans="1:13">
      <c r="A89" s="664" t="s">
        <v>341</v>
      </c>
      <c r="B89" s="664"/>
      <c r="C89" s="664"/>
      <c r="D89" s="664"/>
      <c r="E89" s="664"/>
      <c r="F89" s="664"/>
      <c r="G89" s="266">
        <f>G87+(G87*G88)</f>
        <v>278057.68054706999</v>
      </c>
      <c r="I89" s="78"/>
      <c r="J89" s="195"/>
      <c r="K89" s="195"/>
      <c r="L89" s="195"/>
    </row>
    <row r="90" spans="1:13">
      <c r="I90" s="78"/>
      <c r="J90" s="195"/>
      <c r="K90" s="195"/>
      <c r="L90" s="195"/>
    </row>
    <row r="91" spans="1:13">
      <c r="I91" s="78"/>
      <c r="J91" s="195"/>
      <c r="K91" s="195"/>
      <c r="L91" s="195"/>
    </row>
    <row r="92" spans="1:13">
      <c r="I92" s="78"/>
      <c r="J92" s="195"/>
      <c r="K92" s="195"/>
      <c r="L92" s="195"/>
    </row>
    <row r="93" spans="1:13">
      <c r="I93" s="78"/>
      <c r="J93" s="195"/>
      <c r="K93" s="195"/>
      <c r="L93" s="195"/>
    </row>
    <row r="94" spans="1:13">
      <c r="I94" s="78"/>
      <c r="J94" s="195"/>
      <c r="K94" s="195"/>
      <c r="L94" s="195"/>
    </row>
    <row r="95" spans="1:13">
      <c r="I95" s="78"/>
      <c r="J95" s="195"/>
      <c r="K95" s="195"/>
      <c r="L95" s="195"/>
    </row>
    <row r="96" spans="1:13">
      <c r="I96" s="78"/>
      <c r="J96" s="195"/>
      <c r="K96" s="195"/>
      <c r="L96" s="195"/>
    </row>
    <row r="97" spans="9:12">
      <c r="I97" s="78"/>
      <c r="J97" s="195"/>
      <c r="K97" s="195"/>
      <c r="L97" s="195"/>
    </row>
    <row r="98" spans="9:12">
      <c r="I98" s="78"/>
      <c r="J98" s="195"/>
      <c r="K98" s="195"/>
      <c r="L98" s="195"/>
    </row>
    <row r="99" spans="9:12">
      <c r="I99" s="78"/>
      <c r="J99" s="195"/>
      <c r="K99" s="195"/>
      <c r="L99" s="195"/>
    </row>
    <row r="100" spans="9:12">
      <c r="I100" s="78"/>
      <c r="J100" s="195"/>
      <c r="K100" s="195"/>
      <c r="L100" s="195"/>
    </row>
    <row r="101" spans="9:12">
      <c r="I101" s="78"/>
      <c r="J101" s="195"/>
      <c r="K101" s="195"/>
      <c r="L101" s="195"/>
    </row>
    <row r="102" spans="9:12">
      <c r="I102" s="78"/>
      <c r="J102" s="195"/>
      <c r="K102" s="195"/>
      <c r="L102" s="195"/>
    </row>
    <row r="103" spans="9:12">
      <c r="I103" s="78"/>
      <c r="J103" s="195"/>
      <c r="K103" s="195"/>
      <c r="L103" s="195"/>
    </row>
    <row r="104" spans="9:12">
      <c r="I104" s="78"/>
      <c r="J104" s="195"/>
      <c r="K104" s="195"/>
      <c r="L104" s="195"/>
    </row>
    <row r="105" spans="9:12">
      <c r="I105" s="78"/>
      <c r="J105" s="195"/>
      <c r="K105" s="195"/>
      <c r="L105" s="195"/>
    </row>
    <row r="106" spans="9:12">
      <c r="I106" s="78"/>
      <c r="J106" s="195"/>
      <c r="K106" s="195"/>
      <c r="L106" s="195"/>
    </row>
    <row r="107" spans="9:12">
      <c r="J107" s="25"/>
      <c r="K107" s="25"/>
      <c r="L107" s="25"/>
    </row>
  </sheetData>
  <mergeCells count="6">
    <mergeCell ref="A88:F88"/>
    <mergeCell ref="A89:F89"/>
    <mergeCell ref="A1:H1"/>
    <mergeCell ref="A2:H2"/>
    <mergeCell ref="J2:L2"/>
    <mergeCell ref="A87:F87"/>
  </mergeCells>
  <phoneticPr fontId="15" type="noConversion"/>
  <pageMargins left="0.511811024" right="0.511811024" top="0.78740157499999996" bottom="0.78740157499999996" header="0.31496062000000002" footer="0.31496062000000002"/>
  <pageSetup paperSize="9" scale="3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FFD2-1F6D-468D-BE4B-DACD87CCB881}">
  <sheetPr>
    <pageSetUpPr fitToPage="1"/>
  </sheetPr>
  <dimension ref="A1:L177"/>
  <sheetViews>
    <sheetView topLeftCell="A132" workbookViewId="0">
      <selection activeCell="G150" sqref="G150"/>
    </sheetView>
  </sheetViews>
  <sheetFormatPr defaultRowHeight="16.5"/>
  <cols>
    <col min="1" max="1" width="12.28515625" style="21" customWidth="1"/>
    <col min="2" max="2" width="18.85546875" style="21" customWidth="1"/>
    <col min="3" max="3" width="122.28515625" style="219" customWidth="1"/>
    <col min="4" max="4" width="13.7109375" style="22" customWidth="1"/>
    <col min="5" max="5" width="13.7109375" style="252" customWidth="1"/>
    <col min="6" max="6" width="15" style="23" customWidth="1"/>
    <col min="7" max="7" width="15.7109375" style="24" customWidth="1"/>
    <col min="8" max="235" width="9.140625" style="19"/>
    <col min="236" max="236" width="15.28515625" style="19" customWidth="1"/>
    <col min="237" max="237" width="10.140625" style="19" customWidth="1"/>
    <col min="238" max="238" width="7.28515625" style="19" customWidth="1"/>
    <col min="239" max="239" width="68.7109375" style="19" customWidth="1"/>
    <col min="240" max="240" width="15" style="19" customWidth="1"/>
    <col min="241" max="241" width="14.140625" style="19" bestFit="1" customWidth="1"/>
    <col min="242" max="242" width="16.5703125" style="19" customWidth="1"/>
    <col min="243" max="244" width="9.140625" style="19"/>
    <col min="245" max="245" width="8.7109375" style="19" customWidth="1"/>
    <col min="246" max="491" width="9.140625" style="19"/>
    <col min="492" max="492" width="15.28515625" style="19" customWidth="1"/>
    <col min="493" max="493" width="10.140625" style="19" customWidth="1"/>
    <col min="494" max="494" width="7.28515625" style="19" customWidth="1"/>
    <col min="495" max="495" width="68.7109375" style="19" customWidth="1"/>
    <col min="496" max="496" width="15" style="19" customWidth="1"/>
    <col min="497" max="497" width="14.140625" style="19" bestFit="1" customWidth="1"/>
    <col min="498" max="498" width="16.5703125" style="19" customWidth="1"/>
    <col min="499" max="500" width="9.140625" style="19"/>
    <col min="501" max="501" width="8.7109375" style="19" customWidth="1"/>
    <col min="502" max="747" width="9.140625" style="19"/>
    <col min="748" max="748" width="15.28515625" style="19" customWidth="1"/>
    <col min="749" max="749" width="10.140625" style="19" customWidth="1"/>
    <col min="750" max="750" width="7.28515625" style="19" customWidth="1"/>
    <col min="751" max="751" width="68.7109375" style="19" customWidth="1"/>
    <col min="752" max="752" width="15" style="19" customWidth="1"/>
    <col min="753" max="753" width="14.140625" style="19" bestFit="1" customWidth="1"/>
    <col min="754" max="754" width="16.5703125" style="19" customWidth="1"/>
    <col min="755" max="756" width="9.140625" style="19"/>
    <col min="757" max="757" width="8.7109375" style="19" customWidth="1"/>
    <col min="758" max="1003" width="9.140625" style="19"/>
    <col min="1004" max="1004" width="15.28515625" style="19" customWidth="1"/>
    <col min="1005" max="1005" width="10.140625" style="19" customWidth="1"/>
    <col min="1006" max="1006" width="7.28515625" style="19" customWidth="1"/>
    <col min="1007" max="1007" width="68.7109375" style="19" customWidth="1"/>
    <col min="1008" max="1008" width="15" style="19" customWidth="1"/>
    <col min="1009" max="1009" width="14.140625" style="19" bestFit="1" customWidth="1"/>
    <col min="1010" max="1010" width="16.5703125" style="19" customWidth="1"/>
    <col min="1011" max="1012" width="9.140625" style="19"/>
    <col min="1013" max="1013" width="8.7109375" style="19" customWidth="1"/>
    <col min="1014" max="1259" width="9.140625" style="19"/>
    <col min="1260" max="1260" width="15.28515625" style="19" customWidth="1"/>
    <col min="1261" max="1261" width="10.140625" style="19" customWidth="1"/>
    <col min="1262" max="1262" width="7.28515625" style="19" customWidth="1"/>
    <col min="1263" max="1263" width="68.7109375" style="19" customWidth="1"/>
    <col min="1264" max="1264" width="15" style="19" customWidth="1"/>
    <col min="1265" max="1265" width="14.140625" style="19" bestFit="1" customWidth="1"/>
    <col min="1266" max="1266" width="16.5703125" style="19" customWidth="1"/>
    <col min="1267" max="1268" width="9.140625" style="19"/>
    <col min="1269" max="1269" width="8.7109375" style="19" customWidth="1"/>
    <col min="1270" max="1515" width="9.140625" style="19"/>
    <col min="1516" max="1516" width="15.28515625" style="19" customWidth="1"/>
    <col min="1517" max="1517" width="10.140625" style="19" customWidth="1"/>
    <col min="1518" max="1518" width="7.28515625" style="19" customWidth="1"/>
    <col min="1519" max="1519" width="68.7109375" style="19" customWidth="1"/>
    <col min="1520" max="1520" width="15" style="19" customWidth="1"/>
    <col min="1521" max="1521" width="14.140625" style="19" bestFit="1" customWidth="1"/>
    <col min="1522" max="1522" width="16.5703125" style="19" customWidth="1"/>
    <col min="1523" max="1524" width="9.140625" style="19"/>
    <col min="1525" max="1525" width="8.7109375" style="19" customWidth="1"/>
    <col min="1526" max="1771" width="9.140625" style="19"/>
    <col min="1772" max="1772" width="15.28515625" style="19" customWidth="1"/>
    <col min="1773" max="1773" width="10.140625" style="19" customWidth="1"/>
    <col min="1774" max="1774" width="7.28515625" style="19" customWidth="1"/>
    <col min="1775" max="1775" width="68.7109375" style="19" customWidth="1"/>
    <col min="1776" max="1776" width="15" style="19" customWidth="1"/>
    <col min="1777" max="1777" width="14.140625" style="19" bestFit="1" customWidth="1"/>
    <col min="1778" max="1778" width="16.5703125" style="19" customWidth="1"/>
    <col min="1779" max="1780" width="9.140625" style="19"/>
    <col min="1781" max="1781" width="8.7109375" style="19" customWidth="1"/>
    <col min="1782" max="2027" width="9.140625" style="19"/>
    <col min="2028" max="2028" width="15.28515625" style="19" customWidth="1"/>
    <col min="2029" max="2029" width="10.140625" style="19" customWidth="1"/>
    <col min="2030" max="2030" width="7.28515625" style="19" customWidth="1"/>
    <col min="2031" max="2031" width="68.7109375" style="19" customWidth="1"/>
    <col min="2032" max="2032" width="15" style="19" customWidth="1"/>
    <col min="2033" max="2033" width="14.140625" style="19" bestFit="1" customWidth="1"/>
    <col min="2034" max="2034" width="16.5703125" style="19" customWidth="1"/>
    <col min="2035" max="2036" width="9.140625" style="19"/>
    <col min="2037" max="2037" width="8.7109375" style="19" customWidth="1"/>
    <col min="2038" max="2283" width="9.140625" style="19"/>
    <col min="2284" max="2284" width="15.28515625" style="19" customWidth="1"/>
    <col min="2285" max="2285" width="10.140625" style="19" customWidth="1"/>
    <col min="2286" max="2286" width="7.28515625" style="19" customWidth="1"/>
    <col min="2287" max="2287" width="68.7109375" style="19" customWidth="1"/>
    <col min="2288" max="2288" width="15" style="19" customWidth="1"/>
    <col min="2289" max="2289" width="14.140625" style="19" bestFit="1" customWidth="1"/>
    <col min="2290" max="2290" width="16.5703125" style="19" customWidth="1"/>
    <col min="2291" max="2292" width="9.140625" style="19"/>
    <col min="2293" max="2293" width="8.7109375" style="19" customWidth="1"/>
    <col min="2294" max="2539" width="9.140625" style="19"/>
    <col min="2540" max="2540" width="15.28515625" style="19" customWidth="1"/>
    <col min="2541" max="2541" width="10.140625" style="19" customWidth="1"/>
    <col min="2542" max="2542" width="7.28515625" style="19" customWidth="1"/>
    <col min="2543" max="2543" width="68.7109375" style="19" customWidth="1"/>
    <col min="2544" max="2544" width="15" style="19" customWidth="1"/>
    <col min="2545" max="2545" width="14.140625" style="19" bestFit="1" customWidth="1"/>
    <col min="2546" max="2546" width="16.5703125" style="19" customWidth="1"/>
    <col min="2547" max="2548" width="9.140625" style="19"/>
    <col min="2549" max="2549" width="8.7109375" style="19" customWidth="1"/>
    <col min="2550" max="2795" width="9.140625" style="19"/>
    <col min="2796" max="2796" width="15.28515625" style="19" customWidth="1"/>
    <col min="2797" max="2797" width="10.140625" style="19" customWidth="1"/>
    <col min="2798" max="2798" width="7.28515625" style="19" customWidth="1"/>
    <col min="2799" max="2799" width="68.7109375" style="19" customWidth="1"/>
    <col min="2800" max="2800" width="15" style="19" customWidth="1"/>
    <col min="2801" max="2801" width="14.140625" style="19" bestFit="1" customWidth="1"/>
    <col min="2802" max="2802" width="16.5703125" style="19" customWidth="1"/>
    <col min="2803" max="2804" width="9.140625" style="19"/>
    <col min="2805" max="2805" width="8.7109375" style="19" customWidth="1"/>
    <col min="2806" max="3051" width="9.140625" style="19"/>
    <col min="3052" max="3052" width="15.28515625" style="19" customWidth="1"/>
    <col min="3053" max="3053" width="10.140625" style="19" customWidth="1"/>
    <col min="3054" max="3054" width="7.28515625" style="19" customWidth="1"/>
    <col min="3055" max="3055" width="68.7109375" style="19" customWidth="1"/>
    <col min="3056" max="3056" width="15" style="19" customWidth="1"/>
    <col min="3057" max="3057" width="14.140625" style="19" bestFit="1" customWidth="1"/>
    <col min="3058" max="3058" width="16.5703125" style="19" customWidth="1"/>
    <col min="3059" max="3060" width="9.140625" style="19"/>
    <col min="3061" max="3061" width="8.7109375" style="19" customWidth="1"/>
    <col min="3062" max="3307" width="9.140625" style="19"/>
    <col min="3308" max="3308" width="15.28515625" style="19" customWidth="1"/>
    <col min="3309" max="3309" width="10.140625" style="19" customWidth="1"/>
    <col min="3310" max="3310" width="7.28515625" style="19" customWidth="1"/>
    <col min="3311" max="3311" width="68.7109375" style="19" customWidth="1"/>
    <col min="3312" max="3312" width="15" style="19" customWidth="1"/>
    <col min="3313" max="3313" width="14.140625" style="19" bestFit="1" customWidth="1"/>
    <col min="3314" max="3314" width="16.5703125" style="19" customWidth="1"/>
    <col min="3315" max="3316" width="9.140625" style="19"/>
    <col min="3317" max="3317" width="8.7109375" style="19" customWidth="1"/>
    <col min="3318" max="3563" width="9.140625" style="19"/>
    <col min="3564" max="3564" width="15.28515625" style="19" customWidth="1"/>
    <col min="3565" max="3565" width="10.140625" style="19" customWidth="1"/>
    <col min="3566" max="3566" width="7.28515625" style="19" customWidth="1"/>
    <col min="3567" max="3567" width="68.7109375" style="19" customWidth="1"/>
    <col min="3568" max="3568" width="15" style="19" customWidth="1"/>
    <col min="3569" max="3569" width="14.140625" style="19" bestFit="1" customWidth="1"/>
    <col min="3570" max="3570" width="16.5703125" style="19" customWidth="1"/>
    <col min="3571" max="3572" width="9.140625" style="19"/>
    <col min="3573" max="3573" width="8.7109375" style="19" customWidth="1"/>
    <col min="3574" max="3819" width="9.140625" style="19"/>
    <col min="3820" max="3820" width="15.28515625" style="19" customWidth="1"/>
    <col min="3821" max="3821" width="10.140625" style="19" customWidth="1"/>
    <col min="3822" max="3822" width="7.28515625" style="19" customWidth="1"/>
    <col min="3823" max="3823" width="68.7109375" style="19" customWidth="1"/>
    <col min="3824" max="3824" width="15" style="19" customWidth="1"/>
    <col min="3825" max="3825" width="14.140625" style="19" bestFit="1" customWidth="1"/>
    <col min="3826" max="3826" width="16.5703125" style="19" customWidth="1"/>
    <col min="3827" max="3828" width="9.140625" style="19"/>
    <col min="3829" max="3829" width="8.7109375" style="19" customWidth="1"/>
    <col min="3830" max="4075" width="9.140625" style="19"/>
    <col min="4076" max="4076" width="15.28515625" style="19" customWidth="1"/>
    <col min="4077" max="4077" width="10.140625" style="19" customWidth="1"/>
    <col min="4078" max="4078" width="7.28515625" style="19" customWidth="1"/>
    <col min="4079" max="4079" width="68.7109375" style="19" customWidth="1"/>
    <col min="4080" max="4080" width="15" style="19" customWidth="1"/>
    <col min="4081" max="4081" width="14.140625" style="19" bestFit="1" customWidth="1"/>
    <col min="4082" max="4082" width="16.5703125" style="19" customWidth="1"/>
    <col min="4083" max="4084" width="9.140625" style="19"/>
    <col min="4085" max="4085" width="8.7109375" style="19" customWidth="1"/>
    <col min="4086" max="4331" width="9.140625" style="19"/>
    <col min="4332" max="4332" width="15.28515625" style="19" customWidth="1"/>
    <col min="4333" max="4333" width="10.140625" style="19" customWidth="1"/>
    <col min="4334" max="4334" width="7.28515625" style="19" customWidth="1"/>
    <col min="4335" max="4335" width="68.7109375" style="19" customWidth="1"/>
    <col min="4336" max="4336" width="15" style="19" customWidth="1"/>
    <col min="4337" max="4337" width="14.140625" style="19" bestFit="1" customWidth="1"/>
    <col min="4338" max="4338" width="16.5703125" style="19" customWidth="1"/>
    <col min="4339" max="4340" width="9.140625" style="19"/>
    <col min="4341" max="4341" width="8.7109375" style="19" customWidth="1"/>
    <col min="4342" max="4587" width="9.140625" style="19"/>
    <col min="4588" max="4588" width="15.28515625" style="19" customWidth="1"/>
    <col min="4589" max="4589" width="10.140625" style="19" customWidth="1"/>
    <col min="4590" max="4590" width="7.28515625" style="19" customWidth="1"/>
    <col min="4591" max="4591" width="68.7109375" style="19" customWidth="1"/>
    <col min="4592" max="4592" width="15" style="19" customWidth="1"/>
    <col min="4593" max="4593" width="14.140625" style="19" bestFit="1" customWidth="1"/>
    <col min="4594" max="4594" width="16.5703125" style="19" customWidth="1"/>
    <col min="4595" max="4596" width="9.140625" style="19"/>
    <col min="4597" max="4597" width="8.7109375" style="19" customWidth="1"/>
    <col min="4598" max="4843" width="9.140625" style="19"/>
    <col min="4844" max="4844" width="15.28515625" style="19" customWidth="1"/>
    <col min="4845" max="4845" width="10.140625" style="19" customWidth="1"/>
    <col min="4846" max="4846" width="7.28515625" style="19" customWidth="1"/>
    <col min="4847" max="4847" width="68.7109375" style="19" customWidth="1"/>
    <col min="4848" max="4848" width="15" style="19" customWidth="1"/>
    <col min="4849" max="4849" width="14.140625" style="19" bestFit="1" customWidth="1"/>
    <col min="4850" max="4850" width="16.5703125" style="19" customWidth="1"/>
    <col min="4851" max="4852" width="9.140625" style="19"/>
    <col min="4853" max="4853" width="8.7109375" style="19" customWidth="1"/>
    <col min="4854" max="5099" width="9.140625" style="19"/>
    <col min="5100" max="5100" width="15.28515625" style="19" customWidth="1"/>
    <col min="5101" max="5101" width="10.140625" style="19" customWidth="1"/>
    <col min="5102" max="5102" width="7.28515625" style="19" customWidth="1"/>
    <col min="5103" max="5103" width="68.7109375" style="19" customWidth="1"/>
    <col min="5104" max="5104" width="15" style="19" customWidth="1"/>
    <col min="5105" max="5105" width="14.140625" style="19" bestFit="1" customWidth="1"/>
    <col min="5106" max="5106" width="16.5703125" style="19" customWidth="1"/>
    <col min="5107" max="5108" width="9.140625" style="19"/>
    <col min="5109" max="5109" width="8.7109375" style="19" customWidth="1"/>
    <col min="5110" max="5355" width="9.140625" style="19"/>
    <col min="5356" max="5356" width="15.28515625" style="19" customWidth="1"/>
    <col min="5357" max="5357" width="10.140625" style="19" customWidth="1"/>
    <col min="5358" max="5358" width="7.28515625" style="19" customWidth="1"/>
    <col min="5359" max="5359" width="68.7109375" style="19" customWidth="1"/>
    <col min="5360" max="5360" width="15" style="19" customWidth="1"/>
    <col min="5361" max="5361" width="14.140625" style="19" bestFit="1" customWidth="1"/>
    <col min="5362" max="5362" width="16.5703125" style="19" customWidth="1"/>
    <col min="5363" max="5364" width="9.140625" style="19"/>
    <col min="5365" max="5365" width="8.7109375" style="19" customWidth="1"/>
    <col min="5366" max="5611" width="9.140625" style="19"/>
    <col min="5612" max="5612" width="15.28515625" style="19" customWidth="1"/>
    <col min="5613" max="5613" width="10.140625" style="19" customWidth="1"/>
    <col min="5614" max="5614" width="7.28515625" style="19" customWidth="1"/>
    <col min="5615" max="5615" width="68.7109375" style="19" customWidth="1"/>
    <col min="5616" max="5616" width="15" style="19" customWidth="1"/>
    <col min="5617" max="5617" width="14.140625" style="19" bestFit="1" customWidth="1"/>
    <col min="5618" max="5618" width="16.5703125" style="19" customWidth="1"/>
    <col min="5619" max="5620" width="9.140625" style="19"/>
    <col min="5621" max="5621" width="8.7109375" style="19" customWidth="1"/>
    <col min="5622" max="5867" width="9.140625" style="19"/>
    <col min="5868" max="5868" width="15.28515625" style="19" customWidth="1"/>
    <col min="5869" max="5869" width="10.140625" style="19" customWidth="1"/>
    <col min="5870" max="5870" width="7.28515625" style="19" customWidth="1"/>
    <col min="5871" max="5871" width="68.7109375" style="19" customWidth="1"/>
    <col min="5872" max="5872" width="15" style="19" customWidth="1"/>
    <col min="5873" max="5873" width="14.140625" style="19" bestFit="1" customWidth="1"/>
    <col min="5874" max="5874" width="16.5703125" style="19" customWidth="1"/>
    <col min="5875" max="5876" width="9.140625" style="19"/>
    <col min="5877" max="5877" width="8.7109375" style="19" customWidth="1"/>
    <col min="5878" max="6123" width="9.140625" style="19"/>
    <col min="6124" max="6124" width="15.28515625" style="19" customWidth="1"/>
    <col min="6125" max="6125" width="10.140625" style="19" customWidth="1"/>
    <col min="6126" max="6126" width="7.28515625" style="19" customWidth="1"/>
    <col min="6127" max="6127" width="68.7109375" style="19" customWidth="1"/>
    <col min="6128" max="6128" width="15" style="19" customWidth="1"/>
    <col min="6129" max="6129" width="14.140625" style="19" bestFit="1" customWidth="1"/>
    <col min="6130" max="6130" width="16.5703125" style="19" customWidth="1"/>
    <col min="6131" max="6132" width="9.140625" style="19"/>
    <col min="6133" max="6133" width="8.7109375" style="19" customWidth="1"/>
    <col min="6134" max="6379" width="9.140625" style="19"/>
    <col min="6380" max="6380" width="15.28515625" style="19" customWidth="1"/>
    <col min="6381" max="6381" width="10.140625" style="19" customWidth="1"/>
    <col min="6382" max="6382" width="7.28515625" style="19" customWidth="1"/>
    <col min="6383" max="6383" width="68.7109375" style="19" customWidth="1"/>
    <col min="6384" max="6384" width="15" style="19" customWidth="1"/>
    <col min="6385" max="6385" width="14.140625" style="19" bestFit="1" customWidth="1"/>
    <col min="6386" max="6386" width="16.5703125" style="19" customWidth="1"/>
    <col min="6387" max="6388" width="9.140625" style="19"/>
    <col min="6389" max="6389" width="8.7109375" style="19" customWidth="1"/>
    <col min="6390" max="6635" width="9.140625" style="19"/>
    <col min="6636" max="6636" width="15.28515625" style="19" customWidth="1"/>
    <col min="6637" max="6637" width="10.140625" style="19" customWidth="1"/>
    <col min="6638" max="6638" width="7.28515625" style="19" customWidth="1"/>
    <col min="6639" max="6639" width="68.7109375" style="19" customWidth="1"/>
    <col min="6640" max="6640" width="15" style="19" customWidth="1"/>
    <col min="6641" max="6641" width="14.140625" style="19" bestFit="1" customWidth="1"/>
    <col min="6642" max="6642" width="16.5703125" style="19" customWidth="1"/>
    <col min="6643" max="6644" width="9.140625" style="19"/>
    <col min="6645" max="6645" width="8.7109375" style="19" customWidth="1"/>
    <col min="6646" max="6891" width="9.140625" style="19"/>
    <col min="6892" max="6892" width="15.28515625" style="19" customWidth="1"/>
    <col min="6893" max="6893" width="10.140625" style="19" customWidth="1"/>
    <col min="6894" max="6894" width="7.28515625" style="19" customWidth="1"/>
    <col min="6895" max="6895" width="68.7109375" style="19" customWidth="1"/>
    <col min="6896" max="6896" width="15" style="19" customWidth="1"/>
    <col min="6897" max="6897" width="14.140625" style="19" bestFit="1" customWidth="1"/>
    <col min="6898" max="6898" width="16.5703125" style="19" customWidth="1"/>
    <col min="6899" max="6900" width="9.140625" style="19"/>
    <col min="6901" max="6901" width="8.7109375" style="19" customWidth="1"/>
    <col min="6902" max="7147" width="9.140625" style="19"/>
    <col min="7148" max="7148" width="15.28515625" style="19" customWidth="1"/>
    <col min="7149" max="7149" width="10.140625" style="19" customWidth="1"/>
    <col min="7150" max="7150" width="7.28515625" style="19" customWidth="1"/>
    <col min="7151" max="7151" width="68.7109375" style="19" customWidth="1"/>
    <col min="7152" max="7152" width="15" style="19" customWidth="1"/>
    <col min="7153" max="7153" width="14.140625" style="19" bestFit="1" customWidth="1"/>
    <col min="7154" max="7154" width="16.5703125" style="19" customWidth="1"/>
    <col min="7155" max="7156" width="9.140625" style="19"/>
    <col min="7157" max="7157" width="8.7109375" style="19" customWidth="1"/>
    <col min="7158" max="7403" width="9.140625" style="19"/>
    <col min="7404" max="7404" width="15.28515625" style="19" customWidth="1"/>
    <col min="7405" max="7405" width="10.140625" style="19" customWidth="1"/>
    <col min="7406" max="7406" width="7.28515625" style="19" customWidth="1"/>
    <col min="7407" max="7407" width="68.7109375" style="19" customWidth="1"/>
    <col min="7408" max="7408" width="15" style="19" customWidth="1"/>
    <col min="7409" max="7409" width="14.140625" style="19" bestFit="1" customWidth="1"/>
    <col min="7410" max="7410" width="16.5703125" style="19" customWidth="1"/>
    <col min="7411" max="7412" width="9.140625" style="19"/>
    <col min="7413" max="7413" width="8.7109375" style="19" customWidth="1"/>
    <col min="7414" max="7659" width="9.140625" style="19"/>
    <col min="7660" max="7660" width="15.28515625" style="19" customWidth="1"/>
    <col min="7661" max="7661" width="10.140625" style="19" customWidth="1"/>
    <col min="7662" max="7662" width="7.28515625" style="19" customWidth="1"/>
    <col min="7663" max="7663" width="68.7109375" style="19" customWidth="1"/>
    <col min="7664" max="7664" width="15" style="19" customWidth="1"/>
    <col min="7665" max="7665" width="14.140625" style="19" bestFit="1" customWidth="1"/>
    <col min="7666" max="7666" width="16.5703125" style="19" customWidth="1"/>
    <col min="7667" max="7668" width="9.140625" style="19"/>
    <col min="7669" max="7669" width="8.7109375" style="19" customWidth="1"/>
    <col min="7670" max="7915" width="9.140625" style="19"/>
    <col min="7916" max="7916" width="15.28515625" style="19" customWidth="1"/>
    <col min="7917" max="7917" width="10.140625" style="19" customWidth="1"/>
    <col min="7918" max="7918" width="7.28515625" style="19" customWidth="1"/>
    <col min="7919" max="7919" width="68.7109375" style="19" customWidth="1"/>
    <col min="7920" max="7920" width="15" style="19" customWidth="1"/>
    <col min="7921" max="7921" width="14.140625" style="19" bestFit="1" customWidth="1"/>
    <col min="7922" max="7922" width="16.5703125" style="19" customWidth="1"/>
    <col min="7923" max="7924" width="9.140625" style="19"/>
    <col min="7925" max="7925" width="8.7109375" style="19" customWidth="1"/>
    <col min="7926" max="8171" width="9.140625" style="19"/>
    <col min="8172" max="8172" width="15.28515625" style="19" customWidth="1"/>
    <col min="8173" max="8173" width="10.140625" style="19" customWidth="1"/>
    <col min="8174" max="8174" width="7.28515625" style="19" customWidth="1"/>
    <col min="8175" max="8175" width="68.7109375" style="19" customWidth="1"/>
    <col min="8176" max="8176" width="15" style="19" customWidth="1"/>
    <col min="8177" max="8177" width="14.140625" style="19" bestFit="1" customWidth="1"/>
    <col min="8178" max="8178" width="16.5703125" style="19" customWidth="1"/>
    <col min="8179" max="8180" width="9.140625" style="19"/>
    <col min="8181" max="8181" width="8.7109375" style="19" customWidth="1"/>
    <col min="8182" max="8427" width="9.140625" style="19"/>
    <col min="8428" max="8428" width="15.28515625" style="19" customWidth="1"/>
    <col min="8429" max="8429" width="10.140625" style="19" customWidth="1"/>
    <col min="8430" max="8430" width="7.28515625" style="19" customWidth="1"/>
    <col min="8431" max="8431" width="68.7109375" style="19" customWidth="1"/>
    <col min="8432" max="8432" width="15" style="19" customWidth="1"/>
    <col min="8433" max="8433" width="14.140625" style="19" bestFit="1" customWidth="1"/>
    <col min="8434" max="8434" width="16.5703125" style="19" customWidth="1"/>
    <col min="8435" max="8436" width="9.140625" style="19"/>
    <col min="8437" max="8437" width="8.7109375" style="19" customWidth="1"/>
    <col min="8438" max="8683" width="9.140625" style="19"/>
    <col min="8684" max="8684" width="15.28515625" style="19" customWidth="1"/>
    <col min="8685" max="8685" width="10.140625" style="19" customWidth="1"/>
    <col min="8686" max="8686" width="7.28515625" style="19" customWidth="1"/>
    <col min="8687" max="8687" width="68.7109375" style="19" customWidth="1"/>
    <col min="8688" max="8688" width="15" style="19" customWidth="1"/>
    <col min="8689" max="8689" width="14.140625" style="19" bestFit="1" customWidth="1"/>
    <col min="8690" max="8690" width="16.5703125" style="19" customWidth="1"/>
    <col min="8691" max="8692" width="9.140625" style="19"/>
    <col min="8693" max="8693" width="8.7109375" style="19" customWidth="1"/>
    <col min="8694" max="8939" width="9.140625" style="19"/>
    <col min="8940" max="8940" width="15.28515625" style="19" customWidth="1"/>
    <col min="8941" max="8941" width="10.140625" style="19" customWidth="1"/>
    <col min="8942" max="8942" width="7.28515625" style="19" customWidth="1"/>
    <col min="8943" max="8943" width="68.7109375" style="19" customWidth="1"/>
    <col min="8944" max="8944" width="15" style="19" customWidth="1"/>
    <col min="8945" max="8945" width="14.140625" style="19" bestFit="1" customWidth="1"/>
    <col min="8946" max="8946" width="16.5703125" style="19" customWidth="1"/>
    <col min="8947" max="8948" width="9.140625" style="19"/>
    <col min="8949" max="8949" width="8.7109375" style="19" customWidth="1"/>
    <col min="8950" max="9195" width="9.140625" style="19"/>
    <col min="9196" max="9196" width="15.28515625" style="19" customWidth="1"/>
    <col min="9197" max="9197" width="10.140625" style="19" customWidth="1"/>
    <col min="9198" max="9198" width="7.28515625" style="19" customWidth="1"/>
    <col min="9199" max="9199" width="68.7109375" style="19" customWidth="1"/>
    <col min="9200" max="9200" width="15" style="19" customWidth="1"/>
    <col min="9201" max="9201" width="14.140625" style="19" bestFit="1" customWidth="1"/>
    <col min="9202" max="9202" width="16.5703125" style="19" customWidth="1"/>
    <col min="9203" max="9204" width="9.140625" style="19"/>
    <col min="9205" max="9205" width="8.7109375" style="19" customWidth="1"/>
    <col min="9206" max="9451" width="9.140625" style="19"/>
    <col min="9452" max="9452" width="15.28515625" style="19" customWidth="1"/>
    <col min="9453" max="9453" width="10.140625" style="19" customWidth="1"/>
    <col min="9454" max="9454" width="7.28515625" style="19" customWidth="1"/>
    <col min="9455" max="9455" width="68.7109375" style="19" customWidth="1"/>
    <col min="9456" max="9456" width="15" style="19" customWidth="1"/>
    <col min="9457" max="9457" width="14.140625" style="19" bestFit="1" customWidth="1"/>
    <col min="9458" max="9458" width="16.5703125" style="19" customWidth="1"/>
    <col min="9459" max="9460" width="9.140625" style="19"/>
    <col min="9461" max="9461" width="8.7109375" style="19" customWidth="1"/>
    <col min="9462" max="9707" width="9.140625" style="19"/>
    <col min="9708" max="9708" width="15.28515625" style="19" customWidth="1"/>
    <col min="9709" max="9709" width="10.140625" style="19" customWidth="1"/>
    <col min="9710" max="9710" width="7.28515625" style="19" customWidth="1"/>
    <col min="9711" max="9711" width="68.7109375" style="19" customWidth="1"/>
    <col min="9712" max="9712" width="15" style="19" customWidth="1"/>
    <col min="9713" max="9713" width="14.140625" style="19" bestFit="1" customWidth="1"/>
    <col min="9714" max="9714" width="16.5703125" style="19" customWidth="1"/>
    <col min="9715" max="9716" width="9.140625" style="19"/>
    <col min="9717" max="9717" width="8.7109375" style="19" customWidth="1"/>
    <col min="9718" max="9963" width="9.140625" style="19"/>
    <col min="9964" max="9964" width="15.28515625" style="19" customWidth="1"/>
    <col min="9965" max="9965" width="10.140625" style="19" customWidth="1"/>
    <col min="9966" max="9966" width="7.28515625" style="19" customWidth="1"/>
    <col min="9967" max="9967" width="68.7109375" style="19" customWidth="1"/>
    <col min="9968" max="9968" width="15" style="19" customWidth="1"/>
    <col min="9969" max="9969" width="14.140625" style="19" bestFit="1" customWidth="1"/>
    <col min="9970" max="9970" width="16.5703125" style="19" customWidth="1"/>
    <col min="9971" max="9972" width="9.140625" style="19"/>
    <col min="9973" max="9973" width="8.7109375" style="19" customWidth="1"/>
    <col min="9974" max="10219" width="9.140625" style="19"/>
    <col min="10220" max="10220" width="15.28515625" style="19" customWidth="1"/>
    <col min="10221" max="10221" width="10.140625" style="19" customWidth="1"/>
    <col min="10222" max="10222" width="7.28515625" style="19" customWidth="1"/>
    <col min="10223" max="10223" width="68.7109375" style="19" customWidth="1"/>
    <col min="10224" max="10224" width="15" style="19" customWidth="1"/>
    <col min="10225" max="10225" width="14.140625" style="19" bestFit="1" customWidth="1"/>
    <col min="10226" max="10226" width="16.5703125" style="19" customWidth="1"/>
    <col min="10227" max="10228" width="9.140625" style="19"/>
    <col min="10229" max="10229" width="8.7109375" style="19" customWidth="1"/>
    <col min="10230" max="10475" width="9.140625" style="19"/>
    <col min="10476" max="10476" width="15.28515625" style="19" customWidth="1"/>
    <col min="10477" max="10477" width="10.140625" style="19" customWidth="1"/>
    <col min="10478" max="10478" width="7.28515625" style="19" customWidth="1"/>
    <col min="10479" max="10479" width="68.7109375" style="19" customWidth="1"/>
    <col min="10480" max="10480" width="15" style="19" customWidth="1"/>
    <col min="10481" max="10481" width="14.140625" style="19" bestFit="1" customWidth="1"/>
    <col min="10482" max="10482" width="16.5703125" style="19" customWidth="1"/>
    <col min="10483" max="10484" width="9.140625" style="19"/>
    <col min="10485" max="10485" width="8.7109375" style="19" customWidth="1"/>
    <col min="10486" max="10731" width="9.140625" style="19"/>
    <col min="10732" max="10732" width="15.28515625" style="19" customWidth="1"/>
    <col min="10733" max="10733" width="10.140625" style="19" customWidth="1"/>
    <col min="10734" max="10734" width="7.28515625" style="19" customWidth="1"/>
    <col min="10735" max="10735" width="68.7109375" style="19" customWidth="1"/>
    <col min="10736" max="10736" width="15" style="19" customWidth="1"/>
    <col min="10737" max="10737" width="14.140625" style="19" bestFit="1" customWidth="1"/>
    <col min="10738" max="10738" width="16.5703125" style="19" customWidth="1"/>
    <col min="10739" max="10740" width="9.140625" style="19"/>
    <col min="10741" max="10741" width="8.7109375" style="19" customWidth="1"/>
    <col min="10742" max="10987" width="9.140625" style="19"/>
    <col min="10988" max="10988" width="15.28515625" style="19" customWidth="1"/>
    <col min="10989" max="10989" width="10.140625" style="19" customWidth="1"/>
    <col min="10990" max="10990" width="7.28515625" style="19" customWidth="1"/>
    <col min="10991" max="10991" width="68.7109375" style="19" customWidth="1"/>
    <col min="10992" max="10992" width="15" style="19" customWidth="1"/>
    <col min="10993" max="10993" width="14.140625" style="19" bestFit="1" customWidth="1"/>
    <col min="10994" max="10994" width="16.5703125" style="19" customWidth="1"/>
    <col min="10995" max="10996" width="9.140625" style="19"/>
    <col min="10997" max="10997" width="8.7109375" style="19" customWidth="1"/>
    <col min="10998" max="11243" width="9.140625" style="19"/>
    <col min="11244" max="11244" width="15.28515625" style="19" customWidth="1"/>
    <col min="11245" max="11245" width="10.140625" style="19" customWidth="1"/>
    <col min="11246" max="11246" width="7.28515625" style="19" customWidth="1"/>
    <col min="11247" max="11247" width="68.7109375" style="19" customWidth="1"/>
    <col min="11248" max="11248" width="15" style="19" customWidth="1"/>
    <col min="11249" max="11249" width="14.140625" style="19" bestFit="1" customWidth="1"/>
    <col min="11250" max="11250" width="16.5703125" style="19" customWidth="1"/>
    <col min="11251" max="11252" width="9.140625" style="19"/>
    <col min="11253" max="11253" width="8.7109375" style="19" customWidth="1"/>
    <col min="11254" max="11499" width="9.140625" style="19"/>
    <col min="11500" max="11500" width="15.28515625" style="19" customWidth="1"/>
    <col min="11501" max="11501" width="10.140625" style="19" customWidth="1"/>
    <col min="11502" max="11502" width="7.28515625" style="19" customWidth="1"/>
    <col min="11503" max="11503" width="68.7109375" style="19" customWidth="1"/>
    <col min="11504" max="11504" width="15" style="19" customWidth="1"/>
    <col min="11505" max="11505" width="14.140625" style="19" bestFit="1" customWidth="1"/>
    <col min="11506" max="11506" width="16.5703125" style="19" customWidth="1"/>
    <col min="11507" max="11508" width="9.140625" style="19"/>
    <col min="11509" max="11509" width="8.7109375" style="19" customWidth="1"/>
    <col min="11510" max="11755" width="9.140625" style="19"/>
    <col min="11756" max="11756" width="15.28515625" style="19" customWidth="1"/>
    <col min="11757" max="11757" width="10.140625" style="19" customWidth="1"/>
    <col min="11758" max="11758" width="7.28515625" style="19" customWidth="1"/>
    <col min="11759" max="11759" width="68.7109375" style="19" customWidth="1"/>
    <col min="11760" max="11760" width="15" style="19" customWidth="1"/>
    <col min="11761" max="11761" width="14.140625" style="19" bestFit="1" customWidth="1"/>
    <col min="11762" max="11762" width="16.5703125" style="19" customWidth="1"/>
    <col min="11763" max="11764" width="9.140625" style="19"/>
    <col min="11765" max="11765" width="8.7109375" style="19" customWidth="1"/>
    <col min="11766" max="12011" width="9.140625" style="19"/>
    <col min="12012" max="12012" width="15.28515625" style="19" customWidth="1"/>
    <col min="12013" max="12013" width="10.140625" style="19" customWidth="1"/>
    <col min="12014" max="12014" width="7.28515625" style="19" customWidth="1"/>
    <col min="12015" max="12015" width="68.7109375" style="19" customWidth="1"/>
    <col min="12016" max="12016" width="15" style="19" customWidth="1"/>
    <col min="12017" max="12017" width="14.140625" style="19" bestFit="1" customWidth="1"/>
    <col min="12018" max="12018" width="16.5703125" style="19" customWidth="1"/>
    <col min="12019" max="12020" width="9.140625" style="19"/>
    <col min="12021" max="12021" width="8.7109375" style="19" customWidth="1"/>
    <col min="12022" max="12267" width="9.140625" style="19"/>
    <col min="12268" max="12268" width="15.28515625" style="19" customWidth="1"/>
    <col min="12269" max="12269" width="10.140625" style="19" customWidth="1"/>
    <col min="12270" max="12270" width="7.28515625" style="19" customWidth="1"/>
    <col min="12271" max="12271" width="68.7109375" style="19" customWidth="1"/>
    <col min="12272" max="12272" width="15" style="19" customWidth="1"/>
    <col min="12273" max="12273" width="14.140625" style="19" bestFit="1" customWidth="1"/>
    <col min="12274" max="12274" width="16.5703125" style="19" customWidth="1"/>
    <col min="12275" max="12276" width="9.140625" style="19"/>
    <col min="12277" max="12277" width="8.7109375" style="19" customWidth="1"/>
    <col min="12278" max="12523" width="9.140625" style="19"/>
    <col min="12524" max="12524" width="15.28515625" style="19" customWidth="1"/>
    <col min="12525" max="12525" width="10.140625" style="19" customWidth="1"/>
    <col min="12526" max="12526" width="7.28515625" style="19" customWidth="1"/>
    <col min="12527" max="12527" width="68.7109375" style="19" customWidth="1"/>
    <col min="12528" max="12528" width="15" style="19" customWidth="1"/>
    <col min="12529" max="12529" width="14.140625" style="19" bestFit="1" customWidth="1"/>
    <col min="12530" max="12530" width="16.5703125" style="19" customWidth="1"/>
    <col min="12531" max="12532" width="9.140625" style="19"/>
    <col min="12533" max="12533" width="8.7109375" style="19" customWidth="1"/>
    <col min="12534" max="12779" width="9.140625" style="19"/>
    <col min="12780" max="12780" width="15.28515625" style="19" customWidth="1"/>
    <col min="12781" max="12781" width="10.140625" style="19" customWidth="1"/>
    <col min="12782" max="12782" width="7.28515625" style="19" customWidth="1"/>
    <col min="12783" max="12783" width="68.7109375" style="19" customWidth="1"/>
    <col min="12784" max="12784" width="15" style="19" customWidth="1"/>
    <col min="12785" max="12785" width="14.140625" style="19" bestFit="1" customWidth="1"/>
    <col min="12786" max="12786" width="16.5703125" style="19" customWidth="1"/>
    <col min="12787" max="12788" width="9.140625" style="19"/>
    <col min="12789" max="12789" width="8.7109375" style="19" customWidth="1"/>
    <col min="12790" max="13035" width="9.140625" style="19"/>
    <col min="13036" max="13036" width="15.28515625" style="19" customWidth="1"/>
    <col min="13037" max="13037" width="10.140625" style="19" customWidth="1"/>
    <col min="13038" max="13038" width="7.28515625" style="19" customWidth="1"/>
    <col min="13039" max="13039" width="68.7109375" style="19" customWidth="1"/>
    <col min="13040" max="13040" width="15" style="19" customWidth="1"/>
    <col min="13041" max="13041" width="14.140625" style="19" bestFit="1" customWidth="1"/>
    <col min="13042" max="13042" width="16.5703125" style="19" customWidth="1"/>
    <col min="13043" max="13044" width="9.140625" style="19"/>
    <col min="13045" max="13045" width="8.7109375" style="19" customWidth="1"/>
    <col min="13046" max="13291" width="9.140625" style="19"/>
    <col min="13292" max="13292" width="15.28515625" style="19" customWidth="1"/>
    <col min="13293" max="13293" width="10.140625" style="19" customWidth="1"/>
    <col min="13294" max="13294" width="7.28515625" style="19" customWidth="1"/>
    <col min="13295" max="13295" width="68.7109375" style="19" customWidth="1"/>
    <col min="13296" max="13296" width="15" style="19" customWidth="1"/>
    <col min="13297" max="13297" width="14.140625" style="19" bestFit="1" customWidth="1"/>
    <col min="13298" max="13298" width="16.5703125" style="19" customWidth="1"/>
    <col min="13299" max="13300" width="9.140625" style="19"/>
    <col min="13301" max="13301" width="8.7109375" style="19" customWidth="1"/>
    <col min="13302" max="13547" width="9.140625" style="19"/>
    <col min="13548" max="13548" width="15.28515625" style="19" customWidth="1"/>
    <col min="13549" max="13549" width="10.140625" style="19" customWidth="1"/>
    <col min="13550" max="13550" width="7.28515625" style="19" customWidth="1"/>
    <col min="13551" max="13551" width="68.7109375" style="19" customWidth="1"/>
    <col min="13552" max="13552" width="15" style="19" customWidth="1"/>
    <col min="13553" max="13553" width="14.140625" style="19" bestFit="1" customWidth="1"/>
    <col min="13554" max="13554" width="16.5703125" style="19" customWidth="1"/>
    <col min="13555" max="13556" width="9.140625" style="19"/>
    <col min="13557" max="13557" width="8.7109375" style="19" customWidth="1"/>
    <col min="13558" max="13803" width="9.140625" style="19"/>
    <col min="13804" max="13804" width="15.28515625" style="19" customWidth="1"/>
    <col min="13805" max="13805" width="10.140625" style="19" customWidth="1"/>
    <col min="13806" max="13806" width="7.28515625" style="19" customWidth="1"/>
    <col min="13807" max="13807" width="68.7109375" style="19" customWidth="1"/>
    <col min="13808" max="13808" width="15" style="19" customWidth="1"/>
    <col min="13809" max="13809" width="14.140625" style="19" bestFit="1" customWidth="1"/>
    <col min="13810" max="13810" width="16.5703125" style="19" customWidth="1"/>
    <col min="13811" max="13812" width="9.140625" style="19"/>
    <col min="13813" max="13813" width="8.7109375" style="19" customWidth="1"/>
    <col min="13814" max="14059" width="9.140625" style="19"/>
    <col min="14060" max="14060" width="15.28515625" style="19" customWidth="1"/>
    <col min="14061" max="14061" width="10.140625" style="19" customWidth="1"/>
    <col min="14062" max="14062" width="7.28515625" style="19" customWidth="1"/>
    <col min="14063" max="14063" width="68.7109375" style="19" customWidth="1"/>
    <col min="14064" max="14064" width="15" style="19" customWidth="1"/>
    <col min="14065" max="14065" width="14.140625" style="19" bestFit="1" customWidth="1"/>
    <col min="14066" max="14066" width="16.5703125" style="19" customWidth="1"/>
    <col min="14067" max="14068" width="9.140625" style="19"/>
    <col min="14069" max="14069" width="8.7109375" style="19" customWidth="1"/>
    <col min="14070" max="14315" width="9.140625" style="19"/>
    <col min="14316" max="14316" width="15.28515625" style="19" customWidth="1"/>
    <col min="14317" max="14317" width="10.140625" style="19" customWidth="1"/>
    <col min="14318" max="14318" width="7.28515625" style="19" customWidth="1"/>
    <col min="14319" max="14319" width="68.7109375" style="19" customWidth="1"/>
    <col min="14320" max="14320" width="15" style="19" customWidth="1"/>
    <col min="14321" max="14321" width="14.140625" style="19" bestFit="1" customWidth="1"/>
    <col min="14322" max="14322" width="16.5703125" style="19" customWidth="1"/>
    <col min="14323" max="14324" width="9.140625" style="19"/>
    <col min="14325" max="14325" width="8.7109375" style="19" customWidth="1"/>
    <col min="14326" max="14571" width="9.140625" style="19"/>
    <col min="14572" max="14572" width="15.28515625" style="19" customWidth="1"/>
    <col min="14573" max="14573" width="10.140625" style="19" customWidth="1"/>
    <col min="14574" max="14574" width="7.28515625" style="19" customWidth="1"/>
    <col min="14575" max="14575" width="68.7109375" style="19" customWidth="1"/>
    <col min="14576" max="14576" width="15" style="19" customWidth="1"/>
    <col min="14577" max="14577" width="14.140625" style="19" bestFit="1" customWidth="1"/>
    <col min="14578" max="14578" width="16.5703125" style="19" customWidth="1"/>
    <col min="14579" max="14580" width="9.140625" style="19"/>
    <col min="14581" max="14581" width="8.7109375" style="19" customWidth="1"/>
    <col min="14582" max="14827" width="9.140625" style="19"/>
    <col min="14828" max="14828" width="15.28515625" style="19" customWidth="1"/>
    <col min="14829" max="14829" width="10.140625" style="19" customWidth="1"/>
    <col min="14830" max="14830" width="7.28515625" style="19" customWidth="1"/>
    <col min="14831" max="14831" width="68.7109375" style="19" customWidth="1"/>
    <col min="14832" max="14832" width="15" style="19" customWidth="1"/>
    <col min="14833" max="14833" width="14.140625" style="19" bestFit="1" customWidth="1"/>
    <col min="14834" max="14834" width="16.5703125" style="19" customWidth="1"/>
    <col min="14835" max="14836" width="9.140625" style="19"/>
    <col min="14837" max="14837" width="8.7109375" style="19" customWidth="1"/>
    <col min="14838" max="15083" width="9.140625" style="19"/>
    <col min="15084" max="15084" width="15.28515625" style="19" customWidth="1"/>
    <col min="15085" max="15085" width="10.140625" style="19" customWidth="1"/>
    <col min="15086" max="15086" width="7.28515625" style="19" customWidth="1"/>
    <col min="15087" max="15087" width="68.7109375" style="19" customWidth="1"/>
    <col min="15088" max="15088" width="15" style="19" customWidth="1"/>
    <col min="15089" max="15089" width="14.140625" style="19" bestFit="1" customWidth="1"/>
    <col min="15090" max="15090" width="16.5703125" style="19" customWidth="1"/>
    <col min="15091" max="15092" width="9.140625" style="19"/>
    <col min="15093" max="15093" width="8.7109375" style="19" customWidth="1"/>
    <col min="15094" max="15339" width="9.140625" style="19"/>
    <col min="15340" max="15340" width="15.28515625" style="19" customWidth="1"/>
    <col min="15341" max="15341" width="10.140625" style="19" customWidth="1"/>
    <col min="15342" max="15342" width="7.28515625" style="19" customWidth="1"/>
    <col min="15343" max="15343" width="68.7109375" style="19" customWidth="1"/>
    <col min="15344" max="15344" width="15" style="19" customWidth="1"/>
    <col min="15345" max="15345" width="14.140625" style="19" bestFit="1" customWidth="1"/>
    <col min="15346" max="15346" width="16.5703125" style="19" customWidth="1"/>
    <col min="15347" max="15348" width="9.140625" style="19"/>
    <col min="15349" max="15349" width="8.7109375" style="19" customWidth="1"/>
    <col min="15350" max="15595" width="9.140625" style="19"/>
    <col min="15596" max="15596" width="15.28515625" style="19" customWidth="1"/>
    <col min="15597" max="15597" width="10.140625" style="19" customWidth="1"/>
    <col min="15598" max="15598" width="7.28515625" style="19" customWidth="1"/>
    <col min="15599" max="15599" width="68.7109375" style="19" customWidth="1"/>
    <col min="15600" max="15600" width="15" style="19" customWidth="1"/>
    <col min="15601" max="15601" width="14.140625" style="19" bestFit="1" customWidth="1"/>
    <col min="15602" max="15602" width="16.5703125" style="19" customWidth="1"/>
    <col min="15603" max="15604" width="9.140625" style="19"/>
    <col min="15605" max="15605" width="8.7109375" style="19" customWidth="1"/>
    <col min="15606" max="15851" width="9.140625" style="19"/>
    <col min="15852" max="15852" width="15.28515625" style="19" customWidth="1"/>
    <col min="15853" max="15853" width="10.140625" style="19" customWidth="1"/>
    <col min="15854" max="15854" width="7.28515625" style="19" customWidth="1"/>
    <col min="15855" max="15855" width="68.7109375" style="19" customWidth="1"/>
    <col min="15856" max="15856" width="15" style="19" customWidth="1"/>
    <col min="15857" max="15857" width="14.140625" style="19" bestFit="1" customWidth="1"/>
    <col min="15858" max="15858" width="16.5703125" style="19" customWidth="1"/>
    <col min="15859" max="15860" width="9.140625" style="19"/>
    <col min="15861" max="15861" width="8.7109375" style="19" customWidth="1"/>
    <col min="15862" max="16107" width="9.140625" style="19"/>
    <col min="16108" max="16108" width="15.28515625" style="19" customWidth="1"/>
    <col min="16109" max="16109" width="10.140625" style="19" customWidth="1"/>
    <col min="16110" max="16110" width="7.28515625" style="19" customWidth="1"/>
    <col min="16111" max="16111" width="68.7109375" style="19" customWidth="1"/>
    <col min="16112" max="16112" width="15" style="19" customWidth="1"/>
    <col min="16113" max="16113" width="14.140625" style="19" bestFit="1" customWidth="1"/>
    <col min="16114" max="16114" width="16.5703125" style="19" customWidth="1"/>
    <col min="16115" max="16116" width="9.140625" style="19"/>
    <col min="16117" max="16117" width="8.7109375" style="19" customWidth="1"/>
    <col min="16118" max="16384" width="9.140625" style="19"/>
  </cols>
  <sheetData>
    <row r="1" spans="1:12" ht="20.25">
      <c r="A1" s="674" t="s">
        <v>129</v>
      </c>
      <c r="B1" s="675"/>
      <c r="C1" s="675"/>
      <c r="D1" s="675"/>
      <c r="E1" s="675"/>
      <c r="F1" s="675"/>
      <c r="G1" s="675"/>
      <c r="J1"/>
    </row>
    <row r="2" spans="1:12" s="2" customFormat="1" ht="21" thickBot="1">
      <c r="A2" s="676" t="s">
        <v>342</v>
      </c>
      <c r="B2" s="677"/>
      <c r="C2" s="677"/>
      <c r="D2" s="677"/>
      <c r="E2" s="677"/>
      <c r="F2" s="677"/>
      <c r="G2" s="677"/>
      <c r="I2" s="239"/>
      <c r="J2" s="239"/>
      <c r="K2" s="239"/>
      <c r="L2" s="239"/>
    </row>
    <row r="3" spans="1:12" s="35" customFormat="1" ht="48.75" customHeight="1">
      <c r="A3" s="206" t="s">
        <v>343</v>
      </c>
      <c r="B3" s="207" t="s">
        <v>344</v>
      </c>
      <c r="C3" s="216" t="s">
        <v>133</v>
      </c>
      <c r="D3" s="207" t="s">
        <v>345</v>
      </c>
      <c r="E3" s="247" t="s">
        <v>346</v>
      </c>
      <c r="F3" s="208" t="s">
        <v>136</v>
      </c>
      <c r="G3" s="208" t="s">
        <v>137</v>
      </c>
    </row>
    <row r="4" spans="1:12" s="33" customFormat="1">
      <c r="A4" s="205" t="s">
        <v>347</v>
      </c>
      <c r="B4" s="91" t="str">
        <f>CPU_!B3</f>
        <v>97632</v>
      </c>
      <c r="C4" s="90" t="str">
        <f>CPU_!C3</f>
        <v>DEMOLIÇÃO DE RODAPÉ CERÂMICO, DE FORMA MANUAL, SEM REAPROVEITAMENTO</v>
      </c>
      <c r="D4" s="89" t="str">
        <f>CPU_!D3</f>
        <v>M</v>
      </c>
      <c r="E4" s="248">
        <v>100</v>
      </c>
      <c r="F4" s="96">
        <f>CPU_!F3</f>
        <v>2.66</v>
      </c>
      <c r="G4" s="96">
        <f>TRUNC(E4*F4,2)</f>
        <v>266</v>
      </c>
    </row>
    <row r="5" spans="1:12" s="33" customFormat="1">
      <c r="A5" s="205" t="s">
        <v>348</v>
      </c>
      <c r="B5" s="91" t="str">
        <f>CPU_!B6</f>
        <v>97633</v>
      </c>
      <c r="C5" s="90" t="str">
        <f>CPU_!C6</f>
        <v>DEMOLIÇÃO DE REVESTIMENTO CERÂMICO, DE FORMA MANUAL, SEM REAPROVEITAMENTO</v>
      </c>
      <c r="D5" s="89" t="str">
        <f>CPU_!D6</f>
        <v>M2</v>
      </c>
      <c r="E5" s="248">
        <v>350</v>
      </c>
      <c r="F5" s="96">
        <f>CPU_!F6</f>
        <v>23.26</v>
      </c>
      <c r="G5" s="96">
        <f t="shared" ref="G5:G68" si="0">TRUNC(E5*F5,2)</f>
        <v>8141</v>
      </c>
    </row>
    <row r="6" spans="1:12" s="33" customFormat="1">
      <c r="A6" s="205" t="s">
        <v>349</v>
      </c>
      <c r="B6" s="91">
        <f>CPU_!B9</f>
        <v>87262</v>
      </c>
      <c r="C6" s="90" t="str">
        <f>CPU_!C9</f>
        <v xml:space="preserve">Revestimento de piso, tipo porcelanato - 1º subsolo - vestiarios, salas técnicas, etc </v>
      </c>
      <c r="D6" s="89" t="str">
        <f>CPU_!D9</f>
        <v>M2</v>
      </c>
      <c r="E6" s="248">
        <v>160</v>
      </c>
      <c r="F6" s="96">
        <f>CPU_!F9</f>
        <v>156.04</v>
      </c>
      <c r="G6" s="96">
        <f t="shared" si="0"/>
        <v>24966.400000000001</v>
      </c>
    </row>
    <row r="7" spans="1:12" s="33" customFormat="1">
      <c r="A7" s="205" t="s">
        <v>350</v>
      </c>
      <c r="B7" s="91">
        <f>CPU_!B15</f>
        <v>98671</v>
      </c>
      <c r="C7" s="90" t="str">
        <f>CPU_!C15</f>
        <v>Piso de granito dourado carioca flameado / polido</v>
      </c>
      <c r="D7" s="89" t="str">
        <f>CPU_!D15</f>
        <v>M2</v>
      </c>
      <c r="E7" s="248">
        <v>50</v>
      </c>
      <c r="F7" s="96">
        <f>CPU_!F15</f>
        <v>367.43</v>
      </c>
      <c r="G7" s="96">
        <f t="shared" si="0"/>
        <v>18371.5</v>
      </c>
    </row>
    <row r="8" spans="1:12" s="33" customFormat="1">
      <c r="A8" s="205" t="s">
        <v>351</v>
      </c>
      <c r="B8" s="91">
        <f>CPU_!B21</f>
        <v>98671</v>
      </c>
      <c r="C8" s="90" t="str">
        <f>CPU_!C21</f>
        <v>Piso de Granito BRANCO POLAR flameado / polido</v>
      </c>
      <c r="D8" s="89" t="str">
        <f>CPU_!D21</f>
        <v>M2</v>
      </c>
      <c r="E8" s="248">
        <v>50</v>
      </c>
      <c r="F8" s="96">
        <f>CPU_!F21</f>
        <v>367.43</v>
      </c>
      <c r="G8" s="96">
        <f t="shared" si="0"/>
        <v>18371.5</v>
      </c>
    </row>
    <row r="9" spans="1:12" s="33" customFormat="1">
      <c r="A9" s="205" t="s">
        <v>352</v>
      </c>
      <c r="B9" s="91" t="str">
        <f>CPU_!B27</f>
        <v>PRÓPRIA</v>
      </c>
      <c r="C9" s="90" t="str">
        <f>CPU_!C27</f>
        <v>Revestimento em placa vinílica de 50cm x 50cm - pavimento tipo</v>
      </c>
      <c r="D9" s="89" t="str">
        <f>CPU_!D27</f>
        <v>M2</v>
      </c>
      <c r="E9" s="248">
        <v>375</v>
      </c>
      <c r="F9" s="96">
        <f>CPU_!F27</f>
        <v>206.80405416666667</v>
      </c>
      <c r="G9" s="96">
        <f t="shared" si="0"/>
        <v>77551.520000000004</v>
      </c>
    </row>
    <row r="10" spans="1:12" s="33" customFormat="1">
      <c r="A10" s="205" t="s">
        <v>353</v>
      </c>
      <c r="B10" s="91" t="str">
        <f>CPU_!B34</f>
        <v>102494</v>
      </c>
      <c r="C10" s="90" t="str">
        <f>CPU_!C34</f>
        <v>PINTURA DE PISO COM TINTA EPÓXI, APLICAÇÃO MANUAL, 2 DEMÃOS, INCLUSO PRIMER EPÓXI.</v>
      </c>
      <c r="D10" s="89" t="str">
        <f>CPU_!D34</f>
        <v>M2</v>
      </c>
      <c r="E10" s="248">
        <v>185</v>
      </c>
      <c r="F10" s="96">
        <f>CPU_!F34</f>
        <v>70.64</v>
      </c>
      <c r="G10" s="96">
        <f t="shared" si="0"/>
        <v>13068.4</v>
      </c>
      <c r="H10" s="234"/>
    </row>
    <row r="11" spans="1:12" s="20" customFormat="1">
      <c r="A11" s="205" t="s">
        <v>354</v>
      </c>
      <c r="B11" s="91" t="str">
        <f>CPU_!B41</f>
        <v>102496</v>
      </c>
      <c r="C11" s="90" t="str">
        <f>CPU_!C41</f>
        <v>PINTURA DE RODAPÉ COM TINTA EPÓXI, APLICAÇÃO MANUAL, 2 DEMÃOS, INCLUSÃO PRIMER EPÓXI</v>
      </c>
      <c r="D11" s="89" t="str">
        <f>CPU_!D41</f>
        <v>M</v>
      </c>
      <c r="E11" s="248">
        <v>95</v>
      </c>
      <c r="F11" s="96">
        <f>CPU_!F41</f>
        <v>14.55</v>
      </c>
      <c r="G11" s="96">
        <f t="shared" si="0"/>
        <v>1382.25</v>
      </c>
    </row>
    <row r="12" spans="1:12" s="20" customFormat="1">
      <c r="A12" s="205" t="s">
        <v>355</v>
      </c>
      <c r="B12" s="91" t="str">
        <f>CPU_!B48</f>
        <v>102491</v>
      </c>
      <c r="C12" s="90" t="str">
        <f>CPU_!C48</f>
        <v>PINTURA DE PISO COM TINTA ACRÍLICA, APLICAÇÃO MANUAL, 2 DEMÃOS, INCLUSO FUNDO PREPARADOR</v>
      </c>
      <c r="D12" s="89" t="str">
        <f>CPU_!D48</f>
        <v>M2</v>
      </c>
      <c r="E12" s="248">
        <v>280</v>
      </c>
      <c r="F12" s="96">
        <f>CPU_!F48</f>
        <v>21.71</v>
      </c>
      <c r="G12" s="96">
        <f t="shared" si="0"/>
        <v>6078.8</v>
      </c>
    </row>
    <row r="13" spans="1:12" s="20" customFormat="1">
      <c r="A13" s="205" t="s">
        <v>356</v>
      </c>
      <c r="B13" s="91" t="str">
        <f>CPU_!B54</f>
        <v>PROPRIA</v>
      </c>
      <c r="C13" s="90" t="str">
        <f>CPU_!C54</f>
        <v>RECUPERAÇÃO DE PISO ELEVADO</v>
      </c>
      <c r="D13" s="89" t="str">
        <f>CPU_!D54</f>
        <v>M2</v>
      </c>
      <c r="E13" s="248">
        <v>25</v>
      </c>
      <c r="F13" s="96">
        <f>CPU_!F54</f>
        <v>377.79741000000001</v>
      </c>
      <c r="G13" s="96">
        <f t="shared" si="0"/>
        <v>9444.93</v>
      </c>
    </row>
    <row r="14" spans="1:12" s="20" customFormat="1">
      <c r="A14" s="205" t="s">
        <v>357</v>
      </c>
      <c r="B14" s="91" t="str">
        <f>CPU_!B58</f>
        <v>PROPRIA</v>
      </c>
      <c r="C14" s="90" t="str">
        <f>CPU_!C58</f>
        <v>PISO EM CARPETE - Plenário - inluindo retirada do anterior</v>
      </c>
      <c r="D14" s="89" t="str">
        <f>CPU_!D58</f>
        <v>M2</v>
      </c>
      <c r="E14" s="248">
        <v>290</v>
      </c>
      <c r="F14" s="96">
        <f>CPU_!F58</f>
        <v>217.26740999999998</v>
      </c>
      <c r="G14" s="96">
        <f t="shared" si="0"/>
        <v>63007.54</v>
      </c>
    </row>
    <row r="15" spans="1:12" s="20" customFormat="1">
      <c r="A15" s="205" t="s">
        <v>358</v>
      </c>
      <c r="B15" s="91" t="str">
        <f>CPU_!B62</f>
        <v>PRÓPRIA</v>
      </c>
      <c r="C15" s="90" t="str">
        <f>CPU_!C62</f>
        <v>Execução de junta de dilatação com selante elástico monocomponente a base de poliuretano 1x1cm</v>
      </c>
      <c r="D15" s="89" t="str">
        <f>CPU_!D62</f>
        <v>M</v>
      </c>
      <c r="E15" s="248">
        <f>(6*8)+37</f>
        <v>85</v>
      </c>
      <c r="F15" s="96">
        <f>CPU_!F62</f>
        <v>110.7</v>
      </c>
      <c r="G15" s="96">
        <f t="shared" si="0"/>
        <v>9409.5</v>
      </c>
    </row>
    <row r="16" spans="1:12" s="20" customFormat="1">
      <c r="A16" s="205" t="s">
        <v>359</v>
      </c>
      <c r="B16" s="91" t="str">
        <f>CPU_!B64</f>
        <v>98577</v>
      </c>
      <c r="C16" s="90" t="str">
        <f>CPU_!C64</f>
        <v>TRATAMENTO DE JUNTA SERRADA, COM TARUGO DE POLIETILENO E SELANTE À BASE DE SILICONE</v>
      </c>
      <c r="D16" s="89" t="str">
        <f>CPU_!D64</f>
        <v>M</v>
      </c>
      <c r="E16" s="248">
        <v>45</v>
      </c>
      <c r="F16" s="96">
        <f>CPU_!F64</f>
        <v>51.29</v>
      </c>
      <c r="G16" s="96">
        <f t="shared" si="0"/>
        <v>2308.0500000000002</v>
      </c>
    </row>
    <row r="17" spans="1:7" s="20" customFormat="1">
      <c r="A17" s="205" t="s">
        <v>360</v>
      </c>
      <c r="B17" s="91">
        <f>CPU_!B69</f>
        <v>101094</v>
      </c>
      <c r="C17" s="90" t="str">
        <f>CPU_!C69</f>
        <v>PISO PODOTÁTIL DE ALERTA OU DIRECIONAL, DE BORRACHA, ASSENTADO SOBRE ARGAMASSA</v>
      </c>
      <c r="D17" s="89" t="str">
        <f>CPU_!D69</f>
        <v>M</v>
      </c>
      <c r="E17" s="248">
        <v>40</v>
      </c>
      <c r="F17" s="96">
        <f>CPU_!F69</f>
        <v>141.13999999999999</v>
      </c>
      <c r="G17" s="96">
        <f t="shared" si="0"/>
        <v>5645.6</v>
      </c>
    </row>
    <row r="18" spans="1:7" s="20" customFormat="1" ht="31.5">
      <c r="A18" s="205" t="s">
        <v>361</v>
      </c>
      <c r="B18" s="91" t="str">
        <f>CPU_!B75</f>
        <v>PROPRIA</v>
      </c>
      <c r="C18" s="90" t="str">
        <f>CPU_!C75</f>
        <v>Execução de PUPED – MEMBRANA DE POLIURETANO PARA TRÁFEGO DE PEDESTRES COM 1,8mm DE ESPESSURA, TEXTURA ANTIDERRAPANTE E PROTEÇÃO ALIFÁTICA CONTRA INTEMPÉRIES</v>
      </c>
      <c r="D18" s="89" t="str">
        <f>CPU_!D75</f>
        <v>M2</v>
      </c>
      <c r="E18" s="248">
        <v>570</v>
      </c>
      <c r="F18" s="96">
        <f>CPU_!F75</f>
        <v>139.578</v>
      </c>
      <c r="G18" s="96">
        <f t="shared" si="0"/>
        <v>79559.460000000006</v>
      </c>
    </row>
    <row r="19" spans="1:7" s="20" customFormat="1">
      <c r="A19" s="205" t="s">
        <v>362</v>
      </c>
      <c r="B19" s="91" t="str">
        <f>CPU_!B80</f>
        <v>96114</v>
      </c>
      <c r="C19" s="90" t="str">
        <f>CPU_!C80</f>
        <v>FORRO EM DRYWALL, PARA AMBIENTES COMERCIAIS, INCLUSIVE ESTRUTURA DE FIXAÇÃO</v>
      </c>
      <c r="D19" s="89" t="str">
        <f>CPU_!D80</f>
        <v>M2</v>
      </c>
      <c r="E19" s="248">
        <v>120</v>
      </c>
      <c r="F19" s="96">
        <f>CPU_!F80</f>
        <v>67.42</v>
      </c>
      <c r="G19" s="96">
        <f t="shared" si="0"/>
        <v>8090.4</v>
      </c>
    </row>
    <row r="20" spans="1:7" s="20" customFormat="1">
      <c r="A20" s="205" t="s">
        <v>363</v>
      </c>
      <c r="B20" s="91">
        <f>CPU_!B92</f>
        <v>96116</v>
      </c>
      <c r="C20" s="90" t="str">
        <f>CPU_!C92</f>
        <v>FORRO EM RÉGUAS DE PVC, FRISADO, PARA AMBIENTES COMERCIAIS, INCLUSIVE ESTRUTURA DE FIXAÇÃO</v>
      </c>
      <c r="D20" s="89" t="str">
        <f>CPU_!D92</f>
        <v>M2</v>
      </c>
      <c r="E20" s="248">
        <v>20</v>
      </c>
      <c r="F20" s="96">
        <f>CPU_!F92</f>
        <v>63.08</v>
      </c>
      <c r="G20" s="96">
        <f t="shared" si="0"/>
        <v>1261.5999999999999</v>
      </c>
    </row>
    <row r="21" spans="1:7" s="20" customFormat="1">
      <c r="A21" s="205" t="s">
        <v>364</v>
      </c>
      <c r="B21" s="91">
        <f>CPU_!B101</f>
        <v>96121</v>
      </c>
      <c r="C21" s="217" t="str">
        <f>CPU_!C101</f>
        <v>ACABAMENTOS PARA FORRO (RODA-FORRO EM PERFIL METÁLICO E PLÁSTICO)</v>
      </c>
      <c r="D21" s="91" t="str">
        <f>CPU_!D101</f>
        <v>M</v>
      </c>
      <c r="E21" s="248">
        <v>20</v>
      </c>
      <c r="F21" s="96">
        <f>CPU_!F101</f>
        <v>11.83</v>
      </c>
      <c r="G21" s="96">
        <f t="shared" si="0"/>
        <v>236.6</v>
      </c>
    </row>
    <row r="22" spans="1:7" s="20" customFormat="1" ht="31.5">
      <c r="A22" s="205" t="s">
        <v>365</v>
      </c>
      <c r="B22" s="91" t="str">
        <f>CPU_!B106</f>
        <v>PROPRIA</v>
      </c>
      <c r="C22" s="90" t="str">
        <f>CPU_!C106</f>
        <v>AJUSTES E RECOLOCACO DE FORROS EM LAMBRIL DE MADEIRA DO REFEITÓRIO, CONSIDERANDO REAPROVEITAMENTO DO MATERIAL</v>
      </c>
      <c r="D22" s="89" t="str">
        <f>CPU_!D106</f>
        <v>M2</v>
      </c>
      <c r="E22" s="248">
        <v>600</v>
      </c>
      <c r="F22" s="96">
        <f>CPU_!F106</f>
        <v>4.5439999999999996</v>
      </c>
      <c r="G22" s="96">
        <f t="shared" si="0"/>
        <v>2726.4</v>
      </c>
    </row>
    <row r="23" spans="1:7" s="20" customFormat="1">
      <c r="A23" s="205" t="s">
        <v>366</v>
      </c>
      <c r="B23" s="91">
        <f>CPU_!B110</f>
        <v>96358</v>
      </c>
      <c r="C23" s="90" t="str">
        <f>CPU_!C110</f>
        <v>Parede de dry-wall - instalada (interna, guia simples, sem vão)</v>
      </c>
      <c r="D23" s="89" t="str">
        <f>CPU_!D110</f>
        <v>M2</v>
      </c>
      <c r="E23" s="248">
        <v>35</v>
      </c>
      <c r="F23" s="96">
        <f>CPU_!F110</f>
        <v>85.22</v>
      </c>
      <c r="G23" s="96">
        <f t="shared" si="0"/>
        <v>2982.7</v>
      </c>
    </row>
    <row r="24" spans="1:7" s="20" customFormat="1" ht="31.5">
      <c r="A24" s="205" t="s">
        <v>367</v>
      </c>
      <c r="B24" s="91" t="str">
        <f>CPU_!B122</f>
        <v>88431</v>
      </c>
      <c r="C24" s="90" t="str">
        <f>CPU_!C122</f>
        <v>APLICAÇÃO MANUAL DE PINTURA COM TINTA TEXTURIZADA ACRÍLICA EM PAREDES EXTERNAS, MURETAS E JARDINEIRAS</v>
      </c>
      <c r="D24" s="89" t="str">
        <f>CPU_!D122</f>
        <v>M2</v>
      </c>
      <c r="E24" s="248">
        <v>700</v>
      </c>
      <c r="F24" s="96">
        <f>CPU_!F122</f>
        <v>25.21</v>
      </c>
      <c r="G24" s="96">
        <f t="shared" si="0"/>
        <v>17647</v>
      </c>
    </row>
    <row r="25" spans="1:7" s="20" customFormat="1">
      <c r="A25" s="205" t="s">
        <v>368</v>
      </c>
      <c r="B25" s="91" t="str">
        <f>CPU_!B126</f>
        <v>88496</v>
      </c>
      <c r="C25" s="90" t="str">
        <f>CPU_!C126</f>
        <v>APLICAÇÃO E LIXAMENTO DE MASSA LÁTEX EM TETO, DUAS DEMÃOS.</v>
      </c>
      <c r="D25" s="89" t="str">
        <f>CPU_!D126</f>
        <v>M2</v>
      </c>
      <c r="E25" s="248">
        <v>150</v>
      </c>
      <c r="F25" s="96">
        <f>CPU_!F126</f>
        <v>33.53</v>
      </c>
      <c r="G25" s="96">
        <f t="shared" si="0"/>
        <v>5029.5</v>
      </c>
    </row>
    <row r="26" spans="1:7" s="20" customFormat="1">
      <c r="A26" s="205" t="s">
        <v>369</v>
      </c>
      <c r="B26" s="91" t="str">
        <f>CPU_!B131</f>
        <v>88497</v>
      </c>
      <c r="C26" s="90" t="str">
        <f>CPU_!C131</f>
        <v>APLICAÇÃO E LIXAMENTO DE MASSA LÁTEX EM PAREDES, DUAS DEMÃOS.</v>
      </c>
      <c r="D26" s="89" t="str">
        <f>CPU_!D131</f>
        <v>M2</v>
      </c>
      <c r="E26" s="248">
        <v>620</v>
      </c>
      <c r="F26" s="96">
        <f>CPU_!F131</f>
        <v>19.04</v>
      </c>
      <c r="G26" s="96">
        <f>TRUNC(E26*F26,2)</f>
        <v>11804.8</v>
      </c>
    </row>
    <row r="27" spans="1:7" s="20" customFormat="1">
      <c r="A27" s="205" t="s">
        <v>370</v>
      </c>
      <c r="B27" s="91" t="str">
        <f>CPU_!B136</f>
        <v>88488</v>
      </c>
      <c r="C27" s="90" t="str">
        <f>CPU_!C136</f>
        <v>APLICAÇÃO MANUAL DE PINTURA COM TINTA LÁTEX ACRÍLICA EM TETO, DUAS DEMÃOS.</v>
      </c>
      <c r="D27" s="89" t="str">
        <f>CPU_!D136</f>
        <v>M2</v>
      </c>
      <c r="E27" s="248">
        <v>150</v>
      </c>
      <c r="F27" s="96">
        <f>CPU_!F136</f>
        <v>15.65</v>
      </c>
      <c r="G27" s="96">
        <f t="shared" si="0"/>
        <v>2347.5</v>
      </c>
    </row>
    <row r="28" spans="1:7" s="20" customFormat="1">
      <c r="A28" s="205" t="s">
        <v>371</v>
      </c>
      <c r="B28" s="91" t="str">
        <f>CPU_!B140</f>
        <v>88489</v>
      </c>
      <c r="C28" s="90" t="str">
        <f>CPU_!C140</f>
        <v>APLICAÇÃO MANUAL DE PINTURA COM TINTA LÁTEX ACRÍLICA EM PAREDES, DUAS DEMÃOS.</v>
      </c>
      <c r="D28" s="89" t="str">
        <f>CPU_!D140</f>
        <v>M2</v>
      </c>
      <c r="E28" s="248">
        <v>620</v>
      </c>
      <c r="F28" s="96">
        <f>CPU_!F140</f>
        <v>13.23</v>
      </c>
      <c r="G28" s="96">
        <f t="shared" si="0"/>
        <v>8202.6</v>
      </c>
    </row>
    <row r="29" spans="1:7" s="20" customFormat="1">
      <c r="A29" s="205" t="s">
        <v>372</v>
      </c>
      <c r="B29" s="91" t="str">
        <f>CPU_!B144</f>
        <v>PROPRIA</v>
      </c>
      <c r="C29" s="90" t="str">
        <f>CPU_!C144</f>
        <v>PINTURA ESMALTE ACETINADO EM MADEIRA, DUAS DEMAOS COM LIXAMENTO</v>
      </c>
      <c r="D29" s="89" t="str">
        <f>CPU_!D144</f>
        <v>M2</v>
      </c>
      <c r="E29" s="248">
        <v>180</v>
      </c>
      <c r="F29" s="96">
        <f>CPU_!F144</f>
        <v>18.329999999999998</v>
      </c>
      <c r="G29" s="96">
        <f t="shared" si="0"/>
        <v>3299.4</v>
      </c>
    </row>
    <row r="30" spans="1:7" s="20" customFormat="1">
      <c r="A30" s="205" t="s">
        <v>373</v>
      </c>
      <c r="B30" s="91" t="str">
        <f>CPU_!B150</f>
        <v>PROPRIA</v>
      </c>
      <c r="C30" s="90" t="str">
        <f>CPU_!C150</f>
        <v>VERNIZ SINTETICO EM MADEIRA, 3 DEMAOS, incolor, COM LIXAMENTO</v>
      </c>
      <c r="D30" s="89" t="str">
        <f>CPU_!D150</f>
        <v>M2</v>
      </c>
      <c r="E30" s="248">
        <v>120</v>
      </c>
      <c r="F30" s="96">
        <f>CPU_!F150</f>
        <v>30.245564000000002</v>
      </c>
      <c r="G30" s="96">
        <f t="shared" si="0"/>
        <v>3629.46</v>
      </c>
    </row>
    <row r="31" spans="1:7" s="20" customFormat="1">
      <c r="A31" s="205" t="s">
        <v>374</v>
      </c>
      <c r="B31" s="91" t="str">
        <f>CPU_!B156</f>
        <v>PROPRIA</v>
      </c>
      <c r="C31" s="217" t="str">
        <f>CPU_!C156</f>
        <v>PINTURA COM TINTA PROTETORA ACABAMENTO GRAFITE ESMALTE SOBRE SUPERFICIE METALICA, 2 DEMAOS</v>
      </c>
      <c r="D31" s="91" t="str">
        <f>CPU_!D156</f>
        <v>M2</v>
      </c>
      <c r="E31" s="248">
        <v>60</v>
      </c>
      <c r="F31" s="96">
        <f>CPU_!F156</f>
        <v>50.063000000000002</v>
      </c>
      <c r="G31" s="96">
        <f t="shared" si="0"/>
        <v>3003.78</v>
      </c>
    </row>
    <row r="32" spans="1:7" s="20" customFormat="1">
      <c r="A32" s="205" t="s">
        <v>375</v>
      </c>
      <c r="B32" s="91" t="str">
        <f>CPU_!B162</f>
        <v>PROPRIA</v>
      </c>
      <c r="C32" s="90" t="str">
        <f>CPU_!C162</f>
        <v>PINTURA ESMALTE ACETINADO, DUAS DEMAOS, SOBRE SUPERFICIE METALICA - VIGAS METALICAS INTERNAS</v>
      </c>
      <c r="D32" s="89" t="str">
        <f>CPU_!D162</f>
        <v>M2</v>
      </c>
      <c r="E32" s="248">
        <v>240</v>
      </c>
      <c r="F32" s="96">
        <f>CPU_!F162</f>
        <v>37.245199999999997</v>
      </c>
      <c r="G32" s="96">
        <f t="shared" si="0"/>
        <v>8938.84</v>
      </c>
    </row>
    <row r="33" spans="1:7" s="20" customFormat="1" ht="27" customHeight="1">
      <c r="A33" s="205" t="s">
        <v>376</v>
      </c>
      <c r="B33" s="91" t="str">
        <f>CPU_!B168</f>
        <v>PROPRIA</v>
      </c>
      <c r="C33" s="90" t="str">
        <f>CPU_!C168</f>
        <v>FUNDO PREPARADOR PRIMER SINTETICO, PARA ESTRUTURA METALICA, UMA DEMÃO, ESPESSURA DE 25 MICRA</v>
      </c>
      <c r="D33" s="89" t="str">
        <f>CPU_!D168</f>
        <v>M2</v>
      </c>
      <c r="E33" s="248">
        <v>100</v>
      </c>
      <c r="F33" s="96">
        <f>CPU_!F168</f>
        <v>10.244578000000001</v>
      </c>
      <c r="G33" s="96">
        <f t="shared" si="0"/>
        <v>1024.45</v>
      </c>
    </row>
    <row r="34" spans="1:7" s="20" customFormat="1">
      <c r="A34" s="205" t="s">
        <v>377</v>
      </c>
      <c r="B34" s="91" t="str">
        <f>CPU_!B174</f>
        <v>PROPRIA</v>
      </c>
      <c r="C34" s="90" t="str">
        <f>CPU_!C174</f>
        <v>PINTURA DE BATE RODAS INSTALADOS NOS SUBSOLOS</v>
      </c>
      <c r="D34" s="89" t="str">
        <f>CPU_!D174</f>
        <v>M2</v>
      </c>
      <c r="E34" s="248">
        <f>1.2*125</f>
        <v>150</v>
      </c>
      <c r="F34" s="96">
        <f>CPU_!F174</f>
        <v>37.245199999999997</v>
      </c>
      <c r="G34" s="96">
        <f t="shared" si="0"/>
        <v>5586.78</v>
      </c>
    </row>
    <row r="35" spans="1:7" s="20" customFormat="1">
      <c r="A35" s="205" t="s">
        <v>378</v>
      </c>
      <c r="B35" s="89" t="str">
        <f>CPU_!B180</f>
        <v>PROPRIA</v>
      </c>
      <c r="C35" s="90" t="str">
        <f>CPU_!C180</f>
        <v>REVESTIMENTO EM LAMINADO MELAMINICO LISO VERDE, ESPESSURA 0,8 MM, FIXADO COM COLA</v>
      </c>
      <c r="D35" s="89" t="str">
        <f>CPU_!D180</f>
        <v>M2</v>
      </c>
      <c r="E35" s="248">
        <v>25</v>
      </c>
      <c r="F35" s="96">
        <f>CPU_!F180</f>
        <v>153.62280000000001</v>
      </c>
      <c r="G35" s="96">
        <f t="shared" si="0"/>
        <v>3840.57</v>
      </c>
    </row>
    <row r="36" spans="1:7" s="20" customFormat="1">
      <c r="A36" s="205" t="s">
        <v>379</v>
      </c>
      <c r="B36" s="89" t="str">
        <f>CPU_!B185</f>
        <v>PROPRIA</v>
      </c>
      <c r="C36" s="90" t="str">
        <f>CPU_!C185</f>
        <v>CANTONEIRA DE ALUMINIO 1"X1, PARA PROTECAO DE QUINA DE PAREDE</v>
      </c>
      <c r="D36" s="89" t="str">
        <f>CPU_!D185</f>
        <v>M</v>
      </c>
      <c r="E36" s="248">
        <v>15</v>
      </c>
      <c r="F36" s="96">
        <f>CPU_!F185</f>
        <v>46.118000000000002</v>
      </c>
      <c r="G36" s="96">
        <f t="shared" si="0"/>
        <v>691.77</v>
      </c>
    </row>
    <row r="37" spans="1:7" s="20" customFormat="1">
      <c r="A37" s="205" t="s">
        <v>380</v>
      </c>
      <c r="B37" s="89" t="str">
        <f>CPU_!B189</f>
        <v>PROPRIA</v>
      </c>
      <c r="C37" s="90" t="str">
        <f>CPU_!C189</f>
        <v>ISOLAMENTO TERMICO COM MANTA DE LA DE VIDRO, ESPESSURA 2,5CM</v>
      </c>
      <c r="D37" s="89" t="str">
        <f>CPU_!D189</f>
        <v>M2</v>
      </c>
      <c r="E37" s="248">
        <v>20</v>
      </c>
      <c r="F37" s="96">
        <f>CPU_!F189</f>
        <v>111.54600000000001</v>
      </c>
      <c r="G37" s="96">
        <f t="shared" si="0"/>
        <v>2230.92</v>
      </c>
    </row>
    <row r="38" spans="1:7" s="20" customFormat="1">
      <c r="A38" s="205" t="s">
        <v>381</v>
      </c>
      <c r="B38" s="89" t="str">
        <f>CPU_!B194</f>
        <v>PROPRIA</v>
      </c>
      <c r="C38" s="90" t="str">
        <f>CPU_!C194</f>
        <v>Persiana horizontal em alumínio branca ou cinza 16mm</v>
      </c>
      <c r="D38" s="89" t="str">
        <f>CPU_!D194</f>
        <v>M2</v>
      </c>
      <c r="E38" s="249">
        <v>100</v>
      </c>
      <c r="F38" s="96">
        <f>CPU_!F194</f>
        <v>140</v>
      </c>
      <c r="G38" s="96">
        <f t="shared" si="0"/>
        <v>14000</v>
      </c>
    </row>
    <row r="39" spans="1:7" s="20" customFormat="1" ht="31.5">
      <c r="A39" s="205" t="s">
        <v>382</v>
      </c>
      <c r="B39" s="89">
        <f>CPU_!B196</f>
        <v>100659</v>
      </c>
      <c r="C39" s="90" t="str">
        <f>CPU_!C196</f>
        <v>ALIZAR / GUARNIÇÃO DE 5X1,5CM PARA PORTA DE 60X210CM FIXADO COM PREGOS, PADRÃO MÉDIO - FORNECIMENTO E INSTALAÇÃO.</v>
      </c>
      <c r="D39" s="89" t="str">
        <f>CPU_!D196</f>
        <v>M</v>
      </c>
      <c r="E39" s="249">
        <f>6*5</f>
        <v>30</v>
      </c>
      <c r="F39" s="96">
        <f>CPU_!F196</f>
        <v>13.76</v>
      </c>
      <c r="G39" s="96">
        <f t="shared" si="0"/>
        <v>412.8</v>
      </c>
    </row>
    <row r="40" spans="1:7" s="20" customFormat="1" ht="31.5">
      <c r="A40" s="205" t="s">
        <v>383</v>
      </c>
      <c r="B40" s="89" t="str">
        <f>CPU_!B201</f>
        <v>90823</v>
      </c>
      <c r="C40" s="90" t="str">
        <f>CPU_!C201</f>
        <v>PORTA DE MADEIRA PARA PINTURA, SEMI-OCA (LEVE OU MÉDIA), 90X210CM, ESPESSURA DE 3,5CM, INCLUSO DOBRADIÇAS - FORNECIMENTO E INSTALAÇÃO.</v>
      </c>
      <c r="D40" s="89" t="str">
        <f>CPU_!D201</f>
        <v>UN</v>
      </c>
      <c r="E40" s="249">
        <v>3</v>
      </c>
      <c r="F40" s="96">
        <f>CPU_!F201</f>
        <v>474.33</v>
      </c>
      <c r="G40" s="96">
        <f t="shared" si="0"/>
        <v>1422.99</v>
      </c>
    </row>
    <row r="41" spans="1:7" s="20" customFormat="1" ht="31.5">
      <c r="A41" s="205" t="s">
        <v>384</v>
      </c>
      <c r="B41" s="89">
        <f>CPU_!B207</f>
        <v>91341</v>
      </c>
      <c r="C41" s="90" t="str">
        <f>CPU_!C207</f>
        <v>PORTA EM ALUMÍNIO DE ABRIR TIPO VENEZIANA COM GUARNIÇÃO, FIXAÇÃO COM PARAFUSOS, FORNECIMENTO E INSTALAÇÃO</v>
      </c>
      <c r="D41" s="89" t="str">
        <f>CPU_!D207</f>
        <v>M2</v>
      </c>
      <c r="E41" s="249">
        <v>2</v>
      </c>
      <c r="F41" s="96">
        <f>CPU_!F207</f>
        <v>510.62</v>
      </c>
      <c r="G41" s="96">
        <f t="shared" si="0"/>
        <v>1021.24</v>
      </c>
    </row>
    <row r="42" spans="1:7" s="20" customFormat="1">
      <c r="A42" s="205" t="s">
        <v>385</v>
      </c>
      <c r="B42" s="89" t="str">
        <f>CPU_!B214</f>
        <v>90838</v>
      </c>
      <c r="C42" s="90" t="str">
        <f>CPU_!C214</f>
        <v>PORTA CORTA-FOGO 90X210X4CM - FORNECIMENTO E INSTALAÇÃO</v>
      </c>
      <c r="D42" s="89" t="str">
        <f>CPU_!D214</f>
        <v>UN</v>
      </c>
      <c r="E42" s="249">
        <v>1</v>
      </c>
      <c r="F42" s="96">
        <f>CPU_!F214</f>
        <v>1336.21</v>
      </c>
      <c r="G42" s="96">
        <f t="shared" si="0"/>
        <v>1336.21</v>
      </c>
    </row>
    <row r="43" spans="1:7" s="20" customFormat="1" ht="47.25">
      <c r="A43" s="205" t="s">
        <v>386</v>
      </c>
      <c r="B43" s="89" t="str">
        <f>CPU_!B219</f>
        <v>90844</v>
      </c>
      <c r="C43" s="90" t="str">
        <f>CPU_!C219</f>
        <v>KIT DE PORTA DE MADEIRA PARA PINTURA, SEMI-OCA (LEVE OU MÉDIA), PADRÃO MÉDIO, 90X210CM, ESPESSURA DE 3,5CM, ITENS INCLUSOS: DOBRADIÇAS, MONTAGEM E INSTALAÇÃO DO BATENTE, FECHADURA COM EXECUÇÃO DO FURO - FORNECIMENTO E INSTALAÇÃO</v>
      </c>
      <c r="D43" s="89" t="str">
        <f>CPU_!D219</f>
        <v>UN</v>
      </c>
      <c r="E43" s="249">
        <v>1</v>
      </c>
      <c r="F43" s="96">
        <f>CPU_!F219</f>
        <v>1284.04</v>
      </c>
      <c r="G43" s="96">
        <f t="shared" si="0"/>
        <v>1284.04</v>
      </c>
    </row>
    <row r="44" spans="1:7" s="20" customFormat="1" ht="31.5">
      <c r="A44" s="205" t="s">
        <v>387</v>
      </c>
      <c r="B44" s="89">
        <f>CPU_!B224</f>
        <v>91297</v>
      </c>
      <c r="C44" s="90" t="str">
        <f>CPU_!C224</f>
        <v xml:space="preserve">PORTA DE MADEIRA, SEMI-OCA (LEVE OU MÉDIA), 80X210CM, ESPESSURA DE 3,5CM, INCLUSO DOBRADIÇAS - FORNECIMENTO E INSTALAÇÃO. </v>
      </c>
      <c r="D44" s="89" t="str">
        <f>CPU_!D224</f>
        <v>UN</v>
      </c>
      <c r="E44" s="249">
        <v>2</v>
      </c>
      <c r="F44" s="96">
        <f>CPU_!F224</f>
        <v>443.56</v>
      </c>
      <c r="G44" s="96">
        <f t="shared" si="0"/>
        <v>887.12</v>
      </c>
    </row>
    <row r="45" spans="1:7" s="20" customFormat="1">
      <c r="A45" s="205" t="s">
        <v>388</v>
      </c>
      <c r="B45" s="89" t="str">
        <f>CPU_!B230</f>
        <v>PROPRIA</v>
      </c>
      <c r="C45" s="90" t="str">
        <f>CPU_!C230</f>
        <v>Pintura com esmalte retardante ao fogo (para porta corta-fogo)</v>
      </c>
      <c r="D45" s="89" t="str">
        <f>CPU_!D230</f>
        <v>M2</v>
      </c>
      <c r="E45" s="249">
        <f>2*12</f>
        <v>24</v>
      </c>
      <c r="F45" s="96">
        <f>CPU_!F230</f>
        <v>39.054356296296291</v>
      </c>
      <c r="G45" s="96">
        <f t="shared" si="0"/>
        <v>937.3</v>
      </c>
    </row>
    <row r="46" spans="1:7" s="20" customFormat="1">
      <c r="A46" s="205" t="s">
        <v>389</v>
      </c>
      <c r="B46" s="89" t="str">
        <f>CPU_!B236</f>
        <v>72178</v>
      </c>
      <c r="C46" s="90" t="str">
        <f>CPU_!C236</f>
        <v>RETIRADA DE DIVISORIAS EM CHAPAS DE MADEIRA, COM MONTANTES METALICOS</v>
      </c>
      <c r="D46" s="89" t="str">
        <f>CPU_!D236</f>
        <v>M2</v>
      </c>
      <c r="E46" s="249">
        <f>120*1.4</f>
        <v>168</v>
      </c>
      <c r="F46" s="96">
        <f>CPU_!F236</f>
        <v>33.54</v>
      </c>
      <c r="G46" s="96">
        <f t="shared" si="0"/>
        <v>5634.72</v>
      </c>
    </row>
    <row r="47" spans="1:7" s="20" customFormat="1" ht="31.5">
      <c r="A47" s="205" t="s">
        <v>390</v>
      </c>
      <c r="B47" s="89" t="str">
        <f>CPU_!B238</f>
        <v>PROPRIA</v>
      </c>
      <c r="C47" s="90" t="str">
        <f>CPU_!C238</f>
        <v>RECOLOCACAO DE DIVISORIAS TIPO CHAPAS OU TABUAS, INCLUSIVE ENTARUGAMENTO, CONSIDERANDO REAPROVEITAMENTO DO MATERIAL</v>
      </c>
      <c r="D47" s="89" t="str">
        <f>CPU_!D238</f>
        <v>M2</v>
      </c>
      <c r="E47" s="249">
        <v>168</v>
      </c>
      <c r="F47" s="96">
        <f>CPU_!F238</f>
        <v>43.908000000000001</v>
      </c>
      <c r="G47" s="96">
        <f t="shared" si="0"/>
        <v>7376.54</v>
      </c>
    </row>
    <row r="48" spans="1:7" s="20" customFormat="1">
      <c r="A48" s="205" t="s">
        <v>391</v>
      </c>
      <c r="B48" s="91" t="str">
        <f>CPU_!B242</f>
        <v>99855</v>
      </c>
      <c r="C48" s="90" t="str">
        <f>CPU_!C242</f>
        <v>CORRIMÃO SIMPLES, DIÂMETRO EXTERNO = 1 1/2, EM AÇO GALVANIZADO</v>
      </c>
      <c r="D48" s="91" t="str">
        <f>CPU_!D242</f>
        <v>M</v>
      </c>
      <c r="E48" s="249">
        <v>12</v>
      </c>
      <c r="F48" s="96">
        <f>CPU_!F242</f>
        <v>126.37</v>
      </c>
      <c r="G48" s="96">
        <f t="shared" si="0"/>
        <v>1516.44</v>
      </c>
    </row>
    <row r="49" spans="1:7" s="20" customFormat="1">
      <c r="A49" s="205" t="s">
        <v>392</v>
      </c>
      <c r="B49" s="91" t="str">
        <f>CPU_!B249</f>
        <v>99857</v>
      </c>
      <c r="C49" s="90" t="str">
        <f>CPU_!C249</f>
        <v>CORRIMÃO SIMPLES, DIÂMETRO EXTERNO = 1 1/2, EM ALUMÍNIO</v>
      </c>
      <c r="D49" s="91" t="str">
        <f>CPU_!D249</f>
        <v>M</v>
      </c>
      <c r="E49" s="249">
        <v>12</v>
      </c>
      <c r="F49" s="96">
        <f>CPU_!F249</f>
        <v>96.84</v>
      </c>
      <c r="G49" s="96">
        <f t="shared" si="0"/>
        <v>1162.08</v>
      </c>
    </row>
    <row r="50" spans="1:7" s="20" customFormat="1">
      <c r="A50" s="205" t="s">
        <v>393</v>
      </c>
      <c r="B50" s="91" t="str">
        <f>CPU_!B256</f>
        <v>PROPRIA</v>
      </c>
      <c r="C50" s="90" t="str">
        <f>CPU_!C256</f>
        <v>EXECUÇÃO DE REVESTIMENTO DE PAREDES E LAMBRIL DE MADEIRA</v>
      </c>
      <c r="D50" s="91" t="str">
        <f>CPU_!D256</f>
        <v>M2</v>
      </c>
      <c r="E50" s="249">
        <v>130</v>
      </c>
      <c r="F50" s="96">
        <f>CPU_!F256</f>
        <v>186.99098899999996</v>
      </c>
      <c r="G50" s="96">
        <f t="shared" si="0"/>
        <v>24308.82</v>
      </c>
    </row>
    <row r="51" spans="1:7" s="20" customFormat="1">
      <c r="A51" s="205" t="s">
        <v>394</v>
      </c>
      <c r="B51" s="91" t="str">
        <f>CPU_!B262</f>
        <v>PROPRIA</v>
      </c>
      <c r="C51" s="90" t="str">
        <f>CPU_!C262</f>
        <v>ESPELHO CRISTAL, ESPESSURA 4MM, COM PARAFUSOS DE FIXACAO, SEM MOLDURA</v>
      </c>
      <c r="D51" s="91" t="str">
        <f>CPU_!D262</f>
        <v>M2</v>
      </c>
      <c r="E51" s="248">
        <v>4</v>
      </c>
      <c r="F51" s="96">
        <f>CPU_!F262</f>
        <v>294.99400000000003</v>
      </c>
      <c r="G51" s="96">
        <f t="shared" si="0"/>
        <v>1179.97</v>
      </c>
    </row>
    <row r="52" spans="1:7" s="20" customFormat="1" ht="31.5">
      <c r="A52" s="205" t="s">
        <v>395</v>
      </c>
      <c r="B52" s="91">
        <f>CPU_!B267</f>
        <v>88788</v>
      </c>
      <c r="C52" s="90" t="str">
        <f>CPU_!C267</f>
        <v>REVESTIMENTO CERÂMICO PARA PAREDES EXTERNAS EM PASTILHAS DE VIDRO 3 X 3 CM (PLACAS DE 30 X 30 CM), ALINHADAS A PRUMO</v>
      </c>
      <c r="D52" s="91" t="str">
        <f>CPU_!D267</f>
        <v>M2</v>
      </c>
      <c r="E52" s="248">
        <v>10</v>
      </c>
      <c r="F52" s="96">
        <f>CPU_!F267</f>
        <v>261.54000000000002</v>
      </c>
      <c r="G52" s="96">
        <f t="shared" si="0"/>
        <v>2615.4</v>
      </c>
    </row>
    <row r="53" spans="1:7" s="20" customFormat="1" ht="31.5">
      <c r="A53" s="205" t="s">
        <v>396</v>
      </c>
      <c r="B53" s="91">
        <f>CPU_!B272</f>
        <v>87265</v>
      </c>
      <c r="C53" s="90" t="str">
        <f>CPU_!C272</f>
        <v>REVESTIMENTO CERÂMICO PARA PAREDES INTERNAS COM PLACAS TIPO ESMALTADA EXTRA DE DIMENSÕES 20X20 CM APLICADAS EM AMBIENTES DE ÁREA MENOR QUE 5 M² NA ALTURA INTEIRA DAS PAREDES</v>
      </c>
      <c r="D53" s="91" t="str">
        <f>CPU_!D272</f>
        <v>M2</v>
      </c>
      <c r="E53" s="248">
        <f>20*3</f>
        <v>60</v>
      </c>
      <c r="F53" s="96">
        <f>CPU_!F272</f>
        <v>57.66</v>
      </c>
      <c r="G53" s="96">
        <f t="shared" si="0"/>
        <v>3459.6</v>
      </c>
    </row>
    <row r="54" spans="1:7" s="20" customFormat="1" ht="31.5">
      <c r="A54" s="205" t="s">
        <v>397</v>
      </c>
      <c r="B54" s="91">
        <f>CPU_!B278</f>
        <v>98556</v>
      </c>
      <c r="C54" s="90" t="str">
        <f>CPU_!C278</f>
        <v>IMPERMEABILIZAÇÃO CAIXA D'AGUA SUPERIOR com ARGAMASSA POLIMÉRICA COM ESPESSURA DE 1,0mm + MEMBRANA ACRÍLICA COM CIMENTO, COM ESPESSURA DE 3,0mm - 4 demãos</v>
      </c>
      <c r="D54" s="91" t="str">
        <f>CPU_!D278</f>
        <v>M2</v>
      </c>
      <c r="E54" s="248">
        <v>110</v>
      </c>
      <c r="F54" s="96">
        <f>CPU_!F278</f>
        <v>54.57</v>
      </c>
      <c r="G54" s="96">
        <f t="shared" si="0"/>
        <v>6002.7</v>
      </c>
    </row>
    <row r="55" spans="1:7" s="20" customFormat="1">
      <c r="A55" s="205" t="s">
        <v>398</v>
      </c>
      <c r="B55" s="91" t="str">
        <f>CPU_!B283</f>
        <v>PROPRIA</v>
      </c>
      <c r="C55" s="90" t="str">
        <f>CPU_!C283</f>
        <v>Pintura de concreto aparente, com lixamento e preparação de base, com resina acrilica impermeabilizante, 2 DEMAOS</v>
      </c>
      <c r="D55" s="91" t="str">
        <f>CPU_!D283</f>
        <v>M2</v>
      </c>
      <c r="E55" s="248">
        <v>120</v>
      </c>
      <c r="F55" s="96">
        <f>CPU_!F283</f>
        <v>68.345400000000012</v>
      </c>
      <c r="G55" s="96">
        <f t="shared" si="0"/>
        <v>8201.44</v>
      </c>
    </row>
    <row r="56" spans="1:7" s="20" customFormat="1" ht="31.5">
      <c r="A56" s="205" t="s">
        <v>399</v>
      </c>
      <c r="B56" s="91" t="str">
        <f>CPU_!B289</f>
        <v>PROPRIA</v>
      </c>
      <c r="C56" s="90" t="str">
        <f>CPU_!C289</f>
        <v>VIDRO TEMPERADO INCOLOR, ESPESSURA 10MM, FORNECIMENTO E INSTALACAO, INCLUSIVE MASSA PARA VEDACAO</v>
      </c>
      <c r="D56" s="91" t="str">
        <f>CPU_!D289</f>
        <v>M2</v>
      </c>
      <c r="E56" s="248">
        <v>30</v>
      </c>
      <c r="F56" s="96">
        <f>CPU_!F289</f>
        <v>234.65000000000003</v>
      </c>
      <c r="G56" s="96">
        <f t="shared" si="0"/>
        <v>7039.5</v>
      </c>
    </row>
    <row r="57" spans="1:7" s="20" customFormat="1">
      <c r="A57" s="205" t="s">
        <v>400</v>
      </c>
      <c r="B57" s="91" t="str">
        <f>CPU_!B294</f>
        <v>PROPRIA</v>
      </c>
      <c r="C57" s="217" t="str">
        <f>CPU_!C294</f>
        <v>INSTALAÇÃO DE VIDRO LAMINADO, E = 10 MM, ENCAIXADO EM PERFIL U</v>
      </c>
      <c r="D57" s="91" t="str">
        <f>CPU_!D294</f>
        <v>M2</v>
      </c>
      <c r="E57" s="248">
        <v>15</v>
      </c>
      <c r="F57" s="96">
        <f>CPU_!F294</f>
        <v>492.97194000000002</v>
      </c>
      <c r="G57" s="96">
        <f t="shared" si="0"/>
        <v>7394.57</v>
      </c>
    </row>
    <row r="58" spans="1:7" s="20" customFormat="1">
      <c r="A58" s="205" t="s">
        <v>401</v>
      </c>
      <c r="B58" s="91" t="str">
        <f>CPU_!B302</f>
        <v>PRÓPRIA</v>
      </c>
      <c r="C58" s="217" t="str">
        <f>CPU_!C302</f>
        <v>Limpeza e manutenção de PAINEL DE PROTEÇÃO SOLAR COM ESQUADRIA DE ALUMÍNIO e demais elementos de fachada</v>
      </c>
      <c r="D58" s="91" t="str">
        <f>CPU_!D302</f>
        <v>UNID</v>
      </c>
      <c r="E58" s="248">
        <v>1</v>
      </c>
      <c r="F58" s="96">
        <f>CPU_!F302</f>
        <v>10604.019999999999</v>
      </c>
      <c r="G58" s="96">
        <f t="shared" si="0"/>
        <v>10604.02</v>
      </c>
    </row>
    <row r="59" spans="1:7" s="20" customFormat="1">
      <c r="A59" s="205" t="s">
        <v>402</v>
      </c>
      <c r="B59" s="91" t="str">
        <f>CPU_!B307</f>
        <v>PRÓPRIA</v>
      </c>
      <c r="C59" s="217" t="str">
        <f>CPU_!C307</f>
        <v>Manutenção e pintura de vigas e elementos metálicos das fachadas norte e sul</v>
      </c>
      <c r="D59" s="91" t="str">
        <f>CPU_!D307</f>
        <v>M2</v>
      </c>
      <c r="E59" s="248">
        <v>230</v>
      </c>
      <c r="F59" s="96">
        <f>CPU_!F307</f>
        <v>180.603194</v>
      </c>
      <c r="G59" s="96">
        <f t="shared" si="0"/>
        <v>41538.730000000003</v>
      </c>
    </row>
    <row r="60" spans="1:7" s="20" customFormat="1">
      <c r="A60" s="205" t="s">
        <v>403</v>
      </c>
      <c r="B60" s="91" t="str">
        <f>CPU_!B316</f>
        <v>PROPRIA</v>
      </c>
      <c r="C60" s="217" t="str">
        <f>CPU_!C316</f>
        <v>Execução de Mastro para bandeiras</v>
      </c>
      <c r="D60" s="91" t="str">
        <f>CPU_!D316</f>
        <v>cj</v>
      </c>
      <c r="E60" s="248">
        <v>1</v>
      </c>
      <c r="F60" s="96">
        <f>CPU_!F316</f>
        <v>9590.8399559999998</v>
      </c>
      <c r="G60" s="96">
        <f t="shared" si="0"/>
        <v>9590.83</v>
      </c>
    </row>
    <row r="61" spans="1:7" s="20" customFormat="1">
      <c r="A61" s="205" t="s">
        <v>404</v>
      </c>
      <c r="B61" s="91" t="str">
        <f>CPU_!B330</f>
        <v>PROPRIA</v>
      </c>
      <c r="C61" s="90" t="str">
        <f>CPU_!C330</f>
        <v>PLANTIO DE FORRAÇÃO/ARBUSTOS</v>
      </c>
      <c r="D61" s="91" t="str">
        <f>CPU_!D330</f>
        <v>VB</v>
      </c>
      <c r="E61" s="248">
        <v>1</v>
      </c>
      <c r="F61" s="96">
        <f>CPU_!F330</f>
        <v>21499.99</v>
      </c>
      <c r="G61" s="96">
        <f t="shared" si="0"/>
        <v>21499.99</v>
      </c>
    </row>
    <row r="62" spans="1:7" s="20" customFormat="1">
      <c r="A62" s="205" t="s">
        <v>405</v>
      </c>
      <c r="B62" s="91" t="str">
        <f>CPU_!B340</f>
        <v>103946</v>
      </c>
      <c r="C62" s="90" t="str">
        <f>CPU_!C340</f>
        <v>PLANTIO DE GRAMA ESMERALDA OU SÃO CARLOS OU CURITIBANA, EM PLACAS</v>
      </c>
      <c r="D62" s="91" t="str">
        <f>CPU_!D340</f>
        <v>M2</v>
      </c>
      <c r="E62" s="249">
        <v>250</v>
      </c>
      <c r="F62" s="96">
        <f>CPU_!F340</f>
        <v>19.82</v>
      </c>
      <c r="G62" s="96">
        <f t="shared" si="0"/>
        <v>4955</v>
      </c>
    </row>
    <row r="63" spans="1:7" s="20" customFormat="1" ht="31.5">
      <c r="A63" s="205" t="s">
        <v>406</v>
      </c>
      <c r="B63" s="91">
        <f>CPU_!B344</f>
        <v>103001</v>
      </c>
      <c r="C63" s="90" t="str">
        <f>CPU_!C344</f>
        <v>GRELHA DE FERRO FUNDIDO SIMPLES COM REQUADRO, 150 X 1000 MM, ASSENTADA COM ARGAMASSA 1 : 3 CIMENTO: AREIA - FORNECIMENTO E INSTALAÇÃO</v>
      </c>
      <c r="D63" s="91" t="str">
        <f>CPU_!D344</f>
        <v>UN</v>
      </c>
      <c r="E63" s="249">
        <v>3</v>
      </c>
      <c r="F63" s="96">
        <f>CPU_!F344</f>
        <v>239.92</v>
      </c>
      <c r="G63" s="96">
        <f t="shared" si="0"/>
        <v>719.76</v>
      </c>
    </row>
    <row r="64" spans="1:7" s="20" customFormat="1" ht="31.5">
      <c r="A64" s="205" t="s">
        <v>407</v>
      </c>
      <c r="B64" s="91">
        <f>CPU_!B349</f>
        <v>94229</v>
      </c>
      <c r="C64" s="90" t="str">
        <f>CPU_!C349</f>
        <v>CALHA EM CHAPA DE AÇO GALVANIZADO NÚMERO 24, DESENVOLVIMENTO DE 100 CM , INCLUSO TRANSPORTE VERTICAL</v>
      </c>
      <c r="D64" s="91" t="str">
        <f>CPU_!D349</f>
        <v>M</v>
      </c>
      <c r="E64" s="249">
        <v>15</v>
      </c>
      <c r="F64" s="96">
        <f>CPU_!F349</f>
        <v>174.91</v>
      </c>
      <c r="G64" s="96">
        <f t="shared" si="0"/>
        <v>2623.65</v>
      </c>
    </row>
    <row r="65" spans="1:7" s="20" customFormat="1">
      <c r="A65" s="205" t="s">
        <v>408</v>
      </c>
      <c r="B65" s="91">
        <f>CPU_!B359</f>
        <v>94231</v>
      </c>
      <c r="C65" s="90" t="str">
        <f>CPU_!C359</f>
        <v>RUFO EM CHAPA DE AÇO GALVANIZADO NÚMERO 24, CORTE DE 25 CM, INCLUSO TRANSPORTE VERTICAL</v>
      </c>
      <c r="D65" s="91" t="str">
        <f>CPU_!D359</f>
        <v>M</v>
      </c>
      <c r="E65" s="249">
        <v>15</v>
      </c>
      <c r="F65" s="96">
        <f>CPU_!F359</f>
        <v>54.06</v>
      </c>
      <c r="G65" s="96">
        <f t="shared" si="0"/>
        <v>810.9</v>
      </c>
    </row>
    <row r="66" spans="1:7" s="20" customFormat="1" ht="31.5">
      <c r="A66" s="205" t="s">
        <v>409</v>
      </c>
      <c r="B66" s="91" t="str">
        <f>CPU_!B369</f>
        <v>89356</v>
      </c>
      <c r="C66" s="90" t="str">
        <f>CPU_!C369</f>
        <v xml:space="preserve">TUBO, PVC, SOLDÁVEL, DN 25MM, INSTALADO EM RAMAL OU SUB-RAMAL DE ÁGUA - FORNECIMENTO E INSTALAÇÃO. </v>
      </c>
      <c r="D66" s="91" t="str">
        <f>CPU_!D369</f>
        <v>M</v>
      </c>
      <c r="E66" s="249">
        <v>5</v>
      </c>
      <c r="F66" s="96">
        <f>CPU_!F369</f>
        <v>24.15</v>
      </c>
      <c r="G66" s="96">
        <f t="shared" si="0"/>
        <v>120.75</v>
      </c>
    </row>
    <row r="67" spans="1:7" s="20" customFormat="1" ht="31.5">
      <c r="A67" s="205" t="s">
        <v>410</v>
      </c>
      <c r="B67" s="91" t="str">
        <f>CPU_!B374</f>
        <v>89357</v>
      </c>
      <c r="C67" s="90" t="str">
        <f>CPU_!C374</f>
        <v xml:space="preserve">TUBO, PVC, SOLDÁVEL, DN 32MM, INSTALADO EM RAMAL OU SUB-RAMAL DE ÁGUA - FORNECIMENTO E INSTALAÇÃO. </v>
      </c>
      <c r="D67" s="91" t="str">
        <f>CPU_!D374</f>
        <v>M</v>
      </c>
      <c r="E67" s="249">
        <v>5</v>
      </c>
      <c r="F67" s="96">
        <f>CPU_!F374</f>
        <v>33.06</v>
      </c>
      <c r="G67" s="96">
        <f t="shared" si="0"/>
        <v>165.3</v>
      </c>
    </row>
    <row r="68" spans="1:7" s="20" customFormat="1" ht="17.25" customHeight="1">
      <c r="A68" s="205" t="s">
        <v>411</v>
      </c>
      <c r="B68" s="91" t="str">
        <f>CPU_!B379</f>
        <v>89512</v>
      </c>
      <c r="C68" s="90" t="str">
        <f>CPU_!C379</f>
        <v xml:space="preserve">TUBO PVC, SÉRIE R, ÁGUA PLUVIAL, DN 100 MM, FORNECIDO E INSTALADO EM RAMAL DE ENCAMINHAMENTO. </v>
      </c>
      <c r="D68" s="91" t="str">
        <f>CPU_!D379</f>
        <v>M</v>
      </c>
      <c r="E68" s="248">
        <v>5</v>
      </c>
      <c r="F68" s="96">
        <f>CPU_!F379</f>
        <v>50.3</v>
      </c>
      <c r="G68" s="96">
        <f t="shared" si="0"/>
        <v>251.5</v>
      </c>
    </row>
    <row r="69" spans="1:7" s="20" customFormat="1" ht="31.5">
      <c r="A69" s="205" t="s">
        <v>412</v>
      </c>
      <c r="B69" s="91" t="str">
        <f>CPU_!B386</f>
        <v>89714</v>
      </c>
      <c r="C69" s="90" t="str">
        <f>CPU_!C386</f>
        <v>TUBO PVC, SERIE NORMAL, ESGOTO PREDIAL, DN 100 MM, FORNECIDO E INSTALADO EM RAMAL DE DESCARGA OU RAMAL DE ESGOTO SANITÁRIO.</v>
      </c>
      <c r="D69" s="91" t="str">
        <f>CPU_!D386</f>
        <v>M</v>
      </c>
      <c r="E69" s="248">
        <v>5</v>
      </c>
      <c r="F69" s="96">
        <f>CPU_!F386</f>
        <v>38.9</v>
      </c>
      <c r="G69" s="96">
        <f t="shared" ref="G69:G132" si="1">TRUNC(E69*F69,2)</f>
        <v>194.5</v>
      </c>
    </row>
    <row r="70" spans="1:7" s="20" customFormat="1" ht="31.5">
      <c r="A70" s="205" t="s">
        <v>413</v>
      </c>
      <c r="B70" s="91" t="str">
        <f>CPU_!B393</f>
        <v>91871</v>
      </c>
      <c r="C70" s="90" t="str">
        <f>CPU_!C393</f>
        <v>ELETRODUTO RÍGIDO ROSCÁVEL, PVC, DN 25 MM (3/4"), PARA CIRCUITOS TERMINAIS, INSTALADO EM PAREDE - FORNECIMENTO E INSTALAÇÃO.</v>
      </c>
      <c r="D70" s="91" t="str">
        <f>CPU_!D393</f>
        <v>M</v>
      </c>
      <c r="E70" s="248">
        <v>10</v>
      </c>
      <c r="F70" s="96">
        <f>CPU_!F393</f>
        <v>15.26</v>
      </c>
      <c r="G70" s="96">
        <f t="shared" si="1"/>
        <v>152.6</v>
      </c>
    </row>
    <row r="71" spans="1:7" s="20" customFormat="1" ht="31.5">
      <c r="A71" s="205" t="s">
        <v>414</v>
      </c>
      <c r="B71" s="91" t="str">
        <f>CPU_!B397</f>
        <v>91875</v>
      </c>
      <c r="C71" s="90" t="str">
        <f>CPU_!C397</f>
        <v>LUVA PARA ELETRODUTO, PVC, ROSCÁVEL, DN 25 MM (3/4"), PARA CIRCUITOS TERMINAIS, INSTALADA EM FORRO - FORNECIMENTO E INSTALAÇÃO</v>
      </c>
      <c r="D71" s="91" t="str">
        <f>CPU_!D397</f>
        <v>UN</v>
      </c>
      <c r="E71" s="248">
        <v>5</v>
      </c>
      <c r="F71" s="96">
        <f>CPU_!F397</f>
        <v>8.7100000000000009</v>
      </c>
      <c r="G71" s="96">
        <f t="shared" si="1"/>
        <v>43.55</v>
      </c>
    </row>
    <row r="72" spans="1:7" s="20" customFormat="1" ht="31.5">
      <c r="A72" s="205" t="s">
        <v>415</v>
      </c>
      <c r="B72" s="91" t="str">
        <f>CPU_!B401</f>
        <v>91890</v>
      </c>
      <c r="C72" s="90" t="str">
        <f>CPU_!C401</f>
        <v>CURVA 90 GRAUS PARA ELETRODUTO, PVC, ROSCÁVEL, DN 25 MM (3/4"), PARA CIRCUITOS TERMINAIS, INSTALADA EM FORRO - FORNECIMENTO E INSTALAÇÃO</v>
      </c>
      <c r="D72" s="91" t="str">
        <f>CPU_!D401</f>
        <v>UN</v>
      </c>
      <c r="E72" s="248">
        <v>5</v>
      </c>
      <c r="F72" s="96">
        <f>CPU_!F401</f>
        <v>14.27</v>
      </c>
      <c r="G72" s="96">
        <f t="shared" si="1"/>
        <v>71.349999999999994</v>
      </c>
    </row>
    <row r="73" spans="1:7" s="20" customFormat="1" ht="31.5">
      <c r="A73" s="205" t="s">
        <v>416</v>
      </c>
      <c r="B73" s="91" t="str">
        <f>CPU_!B405</f>
        <v>91926</v>
      </c>
      <c r="C73" s="90" t="str">
        <f>CPU_!C405</f>
        <v>CABO DE COBRE FLEXÍVEL ISOLADO, 2,5 MM², ANTI-CHAMA 450/750 V, PARA CIRCUITOS TERMINAIS - FORNECIMENTO E INSTALAÇÃO</v>
      </c>
      <c r="D73" s="91" t="str">
        <f>CPU_!D405</f>
        <v>M</v>
      </c>
      <c r="E73" s="248">
        <v>150</v>
      </c>
      <c r="F73" s="92">
        <f>CPU_!F405</f>
        <v>4.5599999999999996</v>
      </c>
      <c r="G73" s="96">
        <f t="shared" si="1"/>
        <v>684</v>
      </c>
    </row>
    <row r="74" spans="1:7" s="70" customFormat="1" ht="31.5">
      <c r="A74" s="205" t="s">
        <v>417</v>
      </c>
      <c r="B74" s="89" t="str">
        <f>CPU_!B410</f>
        <v>91928</v>
      </c>
      <c r="C74" s="90" t="str">
        <f>CPU_!C410</f>
        <v>CABO DE COBRE FLEXÍVEL ISOLADO, 4 MM², ANTI-CHAMA 450/750 V, PARA CIRCUITOS TERMINAIS - FORNECIMENTO E INSTALAÇÃO</v>
      </c>
      <c r="D74" s="89" t="str">
        <f>CPU_!D410</f>
        <v>M</v>
      </c>
      <c r="E74" s="248">
        <v>100</v>
      </c>
      <c r="F74" s="96">
        <f>CPU_!F410</f>
        <v>7.08</v>
      </c>
      <c r="G74" s="96">
        <f t="shared" si="1"/>
        <v>708</v>
      </c>
    </row>
    <row r="75" spans="1:7" s="70" customFormat="1" ht="31.5">
      <c r="A75" s="205" t="s">
        <v>418</v>
      </c>
      <c r="B75" s="89" t="str">
        <f>CPU_!B415</f>
        <v>91930</v>
      </c>
      <c r="C75" s="90" t="str">
        <f>CPU_!C415</f>
        <v>CABO DE COBRE FLEXÍVEL ISOLADO, 6 MM², ANTI-CHAMA 450/750 V, PARA CIRCUITOS TERMINAIS - FORNECIMENTO E INSTALAÇÃO</v>
      </c>
      <c r="D75" s="89" t="str">
        <f>CPU_!D415</f>
        <v>M</v>
      </c>
      <c r="E75" s="248">
        <v>50</v>
      </c>
      <c r="F75" s="96">
        <f>CPU_!F415</f>
        <v>9.9</v>
      </c>
      <c r="G75" s="96">
        <f t="shared" si="1"/>
        <v>495</v>
      </c>
    </row>
    <row r="76" spans="1:7" s="70" customFormat="1" ht="31.5">
      <c r="A76" s="205" t="s">
        <v>419</v>
      </c>
      <c r="B76" s="89" t="str">
        <f>CPU_!B420</f>
        <v>95787</v>
      </c>
      <c r="C76" s="90" t="str">
        <f>CPU_!C420</f>
        <v>CONDULETE DE ALUMÍNIO, TIPO LR, PARA ELETRODUTO DE AÇO GALVANIZADO DN 20 MM (3/4''), APARENTE - FORNECIMENTO E INSTALAÇÃO</v>
      </c>
      <c r="D76" s="89" t="str">
        <f>CPU_!D420</f>
        <v>UN</v>
      </c>
      <c r="E76" s="248">
        <v>10</v>
      </c>
      <c r="F76" s="96">
        <f>CPU_!F420</f>
        <v>26.02</v>
      </c>
      <c r="G76" s="96">
        <f t="shared" si="1"/>
        <v>260.2</v>
      </c>
    </row>
    <row r="77" spans="1:7" s="70" customFormat="1" ht="31.5">
      <c r="A77" s="205" t="s">
        <v>420</v>
      </c>
      <c r="B77" s="89" t="str">
        <f>CPU_!B425</f>
        <v>95778</v>
      </c>
      <c r="C77" s="90" t="str">
        <f>CPU_!C425</f>
        <v>CONDULETE DE ALUMÍNIO, TIPO C, PARA ELETRODUTO DE AÇO GALVANIZADO DN 20 MM (3/4''), APARENTE - FORNECIMENTO E INSTALAÇÃO</v>
      </c>
      <c r="D77" s="89" t="str">
        <f>CPU_!D425</f>
        <v>UN</v>
      </c>
      <c r="E77" s="248">
        <v>10</v>
      </c>
      <c r="F77" s="96">
        <f>CPU_!F425</f>
        <v>25.44</v>
      </c>
      <c r="G77" s="96">
        <f t="shared" si="1"/>
        <v>254.4</v>
      </c>
    </row>
    <row r="78" spans="1:7" s="70" customFormat="1" ht="31.5">
      <c r="A78" s="205" t="s">
        <v>421</v>
      </c>
      <c r="B78" s="89" t="str">
        <f>CPU_!B427</f>
        <v>95795</v>
      </c>
      <c r="C78" s="90" t="str">
        <f>CPU_!C427</f>
        <v>CONDULETE DE ALUMÍNIO, TIPO T, PARA ELETRODUTO DE AÇO GALVANIZADO DN 20 MM (3/4''), APARENTE - FORNECIMENTO E INSTALAÇÃO.</v>
      </c>
      <c r="D78" s="89" t="str">
        <f>CPU_!D427</f>
        <v>UN</v>
      </c>
      <c r="E78" s="248">
        <v>10</v>
      </c>
      <c r="F78" s="96">
        <f>CPU_!F427</f>
        <v>29.61</v>
      </c>
      <c r="G78" s="96">
        <f t="shared" si="1"/>
        <v>296.10000000000002</v>
      </c>
    </row>
    <row r="79" spans="1:7" s="20" customFormat="1" ht="31.5">
      <c r="A79" s="205" t="s">
        <v>422</v>
      </c>
      <c r="B79" s="91" t="str">
        <f>CPU_!B432</f>
        <v>95808</v>
      </c>
      <c r="C79" s="90" t="str">
        <f>CPU_!C432</f>
        <v>CONDULETE DE PVC, TIPO LL/LR, PARA ELETRODUTO DE PVC SOLDÁVEL DN 25 MM (3/4''), APARENTE - FORNECIMENTO E INSTALAÇÃO</v>
      </c>
      <c r="D79" s="91" t="str">
        <f>CPU_!D432</f>
        <v>UN</v>
      </c>
      <c r="E79" s="248">
        <v>10</v>
      </c>
      <c r="F79" s="92">
        <f>CPU_!F432</f>
        <v>32.409999999999997</v>
      </c>
      <c r="G79" s="96">
        <f t="shared" si="1"/>
        <v>324.10000000000002</v>
      </c>
    </row>
    <row r="80" spans="1:7" s="20" customFormat="1" ht="31.5">
      <c r="A80" s="205" t="s">
        <v>423</v>
      </c>
      <c r="B80" s="91" t="str">
        <f>CPU_!B437</f>
        <v>PROPRIA</v>
      </c>
      <c r="C80" s="90" t="str">
        <f>CPU_!C437</f>
        <v>ELETROCALHA LISA OU PERFURADA EM AÇO GALVANIZADO, LARGURA  100MM E ALTURA 50MM, INCLUSIVE EMENDA E FIXAÇÃO - FORNECIMENTO E INSTALAÇÃO</v>
      </c>
      <c r="D80" s="91" t="str">
        <f>CPU_!D437</f>
        <v>M</v>
      </c>
      <c r="E80" s="248">
        <v>5</v>
      </c>
      <c r="F80" s="96">
        <f>CPU_!F437</f>
        <v>29.416130000000003</v>
      </c>
      <c r="G80" s="96">
        <f t="shared" si="1"/>
        <v>147.08000000000001</v>
      </c>
    </row>
    <row r="81" spans="1:7" s="20" customFormat="1" ht="31.5">
      <c r="A81" s="205" t="s">
        <v>424</v>
      </c>
      <c r="B81" s="91">
        <f>CPU_!B443</f>
        <v>97241</v>
      </c>
      <c r="C81" s="90" t="str">
        <f>CPU_!C443</f>
        <v>ELETROCALHA LISA OU PERFURADA EM AÇO GALVANIZADO, LARGURA 200MM E ALTURA 50MM, INCLUIVE EMENDA E FIXAÇÃO - FORNECIMENTO E INSTALAÇÃO</v>
      </c>
      <c r="D81" s="91" t="str">
        <f>CPU_!D443</f>
        <v>M</v>
      </c>
      <c r="E81" s="248">
        <v>5</v>
      </c>
      <c r="F81" s="96">
        <f>CPU_!F443</f>
        <v>0</v>
      </c>
      <c r="G81" s="96">
        <f t="shared" si="1"/>
        <v>0</v>
      </c>
    </row>
    <row r="82" spans="1:7" s="20" customFormat="1">
      <c r="A82" s="205" t="s">
        <v>425</v>
      </c>
      <c r="B82" s="91" t="str">
        <f>CPU_!B449</f>
        <v>PROPRIA</v>
      </c>
      <c r="C82" s="90" t="str">
        <f>CPU_!C449</f>
        <v>Certificação de ponto lógico</v>
      </c>
      <c r="D82" s="91" t="str">
        <f>CPU_!D449</f>
        <v>unid</v>
      </c>
      <c r="E82" s="248">
        <v>150</v>
      </c>
      <c r="F82" s="92">
        <f>CPU_!F449</f>
        <v>23.61</v>
      </c>
      <c r="G82" s="96">
        <f t="shared" si="1"/>
        <v>3541.5</v>
      </c>
    </row>
    <row r="83" spans="1:7" s="20" customFormat="1">
      <c r="A83" s="205" t="s">
        <v>426</v>
      </c>
      <c r="B83" s="91" t="str">
        <f>CPU_!B451</f>
        <v>PROPRIA</v>
      </c>
      <c r="C83" s="90" t="str">
        <f>CPU_!C451</f>
        <v>Limpeza de placas de sistema fotovoltaico</v>
      </c>
      <c r="D83" s="91" t="str">
        <f>CPU_!D451</f>
        <v>M2</v>
      </c>
      <c r="E83" s="248">
        <v>500</v>
      </c>
      <c r="F83" s="92">
        <f>CPU_!F451</f>
        <v>5.5004</v>
      </c>
      <c r="G83" s="96">
        <f t="shared" si="1"/>
        <v>2750.2</v>
      </c>
    </row>
    <row r="84" spans="1:7" s="20" customFormat="1" ht="31.5">
      <c r="A84" s="205" t="s">
        <v>427</v>
      </c>
      <c r="B84" s="91" t="str">
        <f>CPU_!B454</f>
        <v>92364</v>
      </c>
      <c r="C84" s="90" t="str">
        <f>CPU_!C454</f>
        <v>TUBO DE AÇO GALVANIZADO COM COSTURA, CLASSE MÉDIA, DN 32 (1 1/4"), CONEXÃO ROSQUEADA, INSTALADO EM REDE DE ALIMENTAÇÃO PARA HIDRANTE - FORNECIMENTO E INSTALAÇÃO.</v>
      </c>
      <c r="D84" s="91" t="str">
        <f>CPU_!D454</f>
        <v>M</v>
      </c>
      <c r="E84" s="248">
        <v>5</v>
      </c>
      <c r="F84" s="92">
        <f>CPU_!F454</f>
        <v>66.13</v>
      </c>
      <c r="G84" s="96">
        <f t="shared" si="1"/>
        <v>330.65</v>
      </c>
    </row>
    <row r="85" spans="1:7" s="20" customFormat="1" ht="31.5">
      <c r="A85" s="205" t="s">
        <v>428</v>
      </c>
      <c r="B85" s="91" t="str">
        <f>CPU_!B458</f>
        <v>92365</v>
      </c>
      <c r="C85" s="90" t="str">
        <f>CPU_!C458</f>
        <v>TUBO DE AÇO GALVANIZADO COM COSTURA, CLASSE MÉDIA, DN 40 (1 1/2"), CONEXÃO ROSQUEADA, INSTALADO EM REDE DE ALIMENTAÇÃO PARA HIDRANTE - FORNECIMENTO E INSTALAÇÃO.</v>
      </c>
      <c r="D85" s="91" t="str">
        <f>CPU_!D458</f>
        <v>M</v>
      </c>
      <c r="E85" s="248">
        <v>4</v>
      </c>
      <c r="F85" s="92">
        <f>CPU_!F458</f>
        <v>76.17</v>
      </c>
      <c r="G85" s="96">
        <f t="shared" si="1"/>
        <v>304.68</v>
      </c>
    </row>
    <row r="86" spans="1:7" s="20" customFormat="1" ht="31.5">
      <c r="A86" s="205" t="s">
        <v>429</v>
      </c>
      <c r="B86" s="91" t="str">
        <f>CPU_!B462</f>
        <v>92652</v>
      </c>
      <c r="C86" s="90" t="str">
        <f>CPU_!C462</f>
        <v>TUBO DE AÇO GALVANIZADO COM COSTURA, CLASSE MÉDIA, CONEXÃO ROSQUEADA, DN 32 (1 1/4"), INSTALADO EM REDE DE ALIMENTAÇÃO PARA SPRINKLER - FORNECIMENTO E INSTALAÇÃO. AF_12/2015</v>
      </c>
      <c r="D86" s="91" t="str">
        <f>CPU_!D462</f>
        <v>M</v>
      </c>
      <c r="E86" s="248">
        <v>4</v>
      </c>
      <c r="F86" s="92">
        <f>CPU_!F462</f>
        <v>71.12</v>
      </c>
      <c r="G86" s="96">
        <f t="shared" si="1"/>
        <v>284.48</v>
      </c>
    </row>
    <row r="87" spans="1:7" s="20" customFormat="1" ht="31.5">
      <c r="A87" s="205" t="s">
        <v>430</v>
      </c>
      <c r="B87" s="91" t="str">
        <f>CPU_!B466</f>
        <v>101907</v>
      </c>
      <c r="C87" s="90" t="str">
        <f>CPU_!C466</f>
        <v>EXTINTOR DE INCÊNDIO PORTÁTIL COM CARGA DE CO2 DE 6 KG, CLASSE BC - FORNECIMENTO E INSTALAÇÃO. AF_10/2020_PE</v>
      </c>
      <c r="D87" s="91" t="str">
        <f>CPU_!D466</f>
        <v>UN</v>
      </c>
      <c r="E87" s="248">
        <v>1</v>
      </c>
      <c r="F87" s="92">
        <f>CPU_!F466</f>
        <v>684.99</v>
      </c>
      <c r="G87" s="96">
        <f t="shared" si="1"/>
        <v>684.99</v>
      </c>
    </row>
    <row r="88" spans="1:7" s="20" customFormat="1" ht="31.5">
      <c r="A88" s="205" t="s">
        <v>431</v>
      </c>
      <c r="B88" s="91" t="str">
        <f>CPU_!B471</f>
        <v>101909</v>
      </c>
      <c r="C88" s="90" t="str">
        <f>CPU_!C471</f>
        <v>EXTINTOR DE INCÊNDIO PORTÁTIL COM CARGA DE PQS DE 6 KG, CLASSE BC - FORNECIMENTO E INSTALAÇÃO. AF_10/2020_PE</v>
      </c>
      <c r="D88" s="91" t="str">
        <f>CPU_!D471</f>
        <v>UN</v>
      </c>
      <c r="E88" s="248">
        <v>1</v>
      </c>
      <c r="F88" s="92">
        <f>CPU_!F471</f>
        <v>244.99</v>
      </c>
      <c r="G88" s="96">
        <f t="shared" si="1"/>
        <v>244.99</v>
      </c>
    </row>
    <row r="89" spans="1:7" s="20" customFormat="1">
      <c r="A89" s="260" t="s">
        <v>433</v>
      </c>
      <c r="B89" s="261"/>
      <c r="C89" s="262" t="s">
        <v>432</v>
      </c>
      <c r="D89" s="261"/>
      <c r="E89" s="248"/>
      <c r="F89" s="92"/>
      <c r="G89" s="96">
        <f t="shared" si="1"/>
        <v>0</v>
      </c>
    </row>
    <row r="90" spans="1:7" s="20" customFormat="1">
      <c r="A90" s="205" t="s">
        <v>1503</v>
      </c>
      <c r="B90" s="91" t="str">
        <f>CPU_!B476</f>
        <v>PROPRIA</v>
      </c>
      <c r="C90" s="90" t="str">
        <f>CPU_!C476</f>
        <v>Bomba rotor 210 mm motor trifásico 380 V, 30 CV 3540 RPM (Conforme ET)</v>
      </c>
      <c r="D90" s="91" t="str">
        <f>CPU_!D476</f>
        <v>PÇ</v>
      </c>
      <c r="E90" s="248">
        <v>2</v>
      </c>
      <c r="F90" s="92">
        <f>CPU_!F476</f>
        <v>21382.888333333336</v>
      </c>
      <c r="G90" s="96">
        <f t="shared" si="1"/>
        <v>42765.77</v>
      </c>
    </row>
    <row r="91" spans="1:7" s="20" customFormat="1">
      <c r="A91" s="205" t="s">
        <v>1504</v>
      </c>
      <c r="B91" s="91">
        <f>CPU_!B480</f>
        <v>92382</v>
      </c>
      <c r="C91" s="90" t="str">
        <f>CPU_!C480</f>
        <v>Cotovelo 90º aço carbono 1", instalado na rede</v>
      </c>
      <c r="D91" s="91" t="str">
        <f>CPU_!D480</f>
        <v>PÇ</v>
      </c>
      <c r="E91" s="248">
        <v>62</v>
      </c>
      <c r="F91" s="92">
        <f>CPU_!F480</f>
        <v>55.53</v>
      </c>
      <c r="G91" s="96">
        <f t="shared" si="1"/>
        <v>3442.86</v>
      </c>
    </row>
    <row r="92" spans="1:7" s="20" customFormat="1">
      <c r="A92" s="205" t="s">
        <v>1505</v>
      </c>
      <c r="B92" s="91">
        <f>CPU_!B486</f>
        <v>92907</v>
      </c>
      <c r="C92" s="90" t="str">
        <f>CPU_!C486</f>
        <v>Redução concêntrica aço carbono 2” x 1.1/2”</v>
      </c>
      <c r="D92" s="91" t="str">
        <f>CPU_!D486</f>
        <v>PÇ</v>
      </c>
      <c r="E92" s="248">
        <v>1</v>
      </c>
      <c r="F92" s="92">
        <f>CPU_!F486</f>
        <v>77.349999999999994</v>
      </c>
      <c r="G92" s="96">
        <f t="shared" si="1"/>
        <v>77.349999999999994</v>
      </c>
    </row>
    <row r="93" spans="1:7" s="20" customFormat="1">
      <c r="A93" s="205" t="s">
        <v>1506</v>
      </c>
      <c r="B93" s="91" t="str">
        <f>CPU_!B492</f>
        <v>PROPRIA</v>
      </c>
      <c r="C93" s="90" t="str">
        <f>CPU_!C492</f>
        <v>Redução concêntrica aço carbono 2” x 1.1/4”</v>
      </c>
      <c r="D93" s="91" t="str">
        <f>CPU_!D492</f>
        <v>PÇ</v>
      </c>
      <c r="E93" s="248">
        <v>1</v>
      </c>
      <c r="F93" s="92">
        <f>CPU_!F492</f>
        <v>82.004950000000008</v>
      </c>
      <c r="G93" s="96">
        <f t="shared" si="1"/>
        <v>82</v>
      </c>
    </row>
    <row r="94" spans="1:7" s="20" customFormat="1">
      <c r="A94" s="205" t="s">
        <v>1507</v>
      </c>
      <c r="B94" s="91" t="str">
        <f>CPU_!B498</f>
        <v>PROPRIA</v>
      </c>
      <c r="C94" s="90" t="str">
        <f>CPU_!C498</f>
        <v>Redução concêntrica aço carbono 2"x1"</v>
      </c>
      <c r="D94" s="91" t="str">
        <f>CPU_!D498</f>
        <v>PÇ</v>
      </c>
      <c r="E94" s="248">
        <v>3</v>
      </c>
      <c r="F94" s="92">
        <f>CPU_!F498</f>
        <v>82.004950000000008</v>
      </c>
      <c r="G94" s="96">
        <f t="shared" si="1"/>
        <v>246.01</v>
      </c>
    </row>
    <row r="95" spans="1:7" s="20" customFormat="1">
      <c r="A95" s="205" t="s">
        <v>1508</v>
      </c>
      <c r="B95" s="91" t="str">
        <f>CPU_!B504</f>
        <v>PROPRIA</v>
      </c>
      <c r="C95" s="90" t="str">
        <f>CPU_!C504</f>
        <v>Redução concêntrica aço carbono 1.1/2"x1.1/4"</v>
      </c>
      <c r="D95" s="91" t="str">
        <f>CPU_!D504</f>
        <v>PÇ</v>
      </c>
      <c r="E95" s="248">
        <v>3</v>
      </c>
      <c r="F95" s="92">
        <f>CPU_!F504</f>
        <v>65.544669999999996</v>
      </c>
      <c r="G95" s="96">
        <f t="shared" si="1"/>
        <v>196.63</v>
      </c>
    </row>
    <row r="96" spans="1:7" s="20" customFormat="1">
      <c r="A96" s="205" t="s">
        <v>1509</v>
      </c>
      <c r="B96" s="91" t="str">
        <f>CPU_!B510</f>
        <v>PROPRIA</v>
      </c>
      <c r="C96" s="90" t="str">
        <f>CPU_!C510</f>
        <v>Redução concêntrica aço carbono 1.1/2"x1"</v>
      </c>
      <c r="D96" s="91" t="str">
        <f>CPU_!D510</f>
        <v>PÇ</v>
      </c>
      <c r="E96" s="248">
        <v>7</v>
      </c>
      <c r="F96" s="92">
        <f>CPU_!F510</f>
        <v>65.544669999999996</v>
      </c>
      <c r="G96" s="96">
        <f t="shared" si="1"/>
        <v>458.81</v>
      </c>
    </row>
    <row r="97" spans="1:11" s="20" customFormat="1">
      <c r="A97" s="205" t="s">
        <v>1510</v>
      </c>
      <c r="B97" s="91" t="str">
        <f>CPU_!B516</f>
        <v>PROPRIA</v>
      </c>
      <c r="C97" s="90" t="str">
        <f>CPU_!C516</f>
        <v>Redução concêntrica aço carbono 1.1/4"x1"</v>
      </c>
      <c r="D97" s="91" t="str">
        <f>CPU_!D516</f>
        <v>PÇ</v>
      </c>
      <c r="E97" s="248">
        <v>3</v>
      </c>
      <c r="F97" s="92">
        <f>CPU_!F516</f>
        <v>60.794670000000004</v>
      </c>
      <c r="G97" s="96">
        <f t="shared" si="1"/>
        <v>182.38</v>
      </c>
    </row>
    <row r="98" spans="1:11" s="20" customFormat="1">
      <c r="A98" s="205" t="s">
        <v>1511</v>
      </c>
      <c r="B98" s="91" t="str">
        <f>CPU_!B522</f>
        <v>PROPRIA</v>
      </c>
      <c r="C98" s="90" t="str">
        <f>CPU_!C522</f>
        <v>Redução concêntrica aço carbono 1"x1/2"</v>
      </c>
      <c r="D98" s="91" t="str">
        <f>CPU_!D522</f>
        <v>PÇ</v>
      </c>
      <c r="E98" s="248">
        <v>69</v>
      </c>
      <c r="F98" s="92">
        <f>CPU_!F522</f>
        <v>53.13467</v>
      </c>
      <c r="G98" s="96">
        <f t="shared" si="1"/>
        <v>3666.29</v>
      </c>
    </row>
    <row r="99" spans="1:11" s="20" customFormat="1">
      <c r="A99" s="205" t="s">
        <v>1512</v>
      </c>
      <c r="B99" s="91" t="str">
        <f>CPU_!B528</f>
        <v>TCPO 15141.8.8</v>
      </c>
      <c r="C99" s="90" t="str">
        <f>CPU_!C528</f>
        <v>Cruzeta de aço carbono 2.1/2”</v>
      </c>
      <c r="D99" s="91" t="str">
        <f>CPU_!D528</f>
        <v>PÇ</v>
      </c>
      <c r="E99" s="248">
        <v>2</v>
      </c>
      <c r="F99" s="92">
        <f>CPU_!F528</f>
        <v>253.36915000000002</v>
      </c>
      <c r="G99" s="96">
        <f t="shared" si="1"/>
        <v>506.73</v>
      </c>
    </row>
    <row r="100" spans="1:11" s="20" customFormat="1">
      <c r="A100" s="205" t="s">
        <v>1513</v>
      </c>
      <c r="B100" s="91" t="str">
        <f>CPU_!B534</f>
        <v>TCPO 15141.8.8</v>
      </c>
      <c r="C100" s="90" t="str">
        <f>CPU_!C534</f>
        <v>Cruzeta de aço carbono 2”</v>
      </c>
      <c r="D100" s="91" t="str">
        <f>CPU_!D534</f>
        <v>PÇ</v>
      </c>
      <c r="E100" s="248">
        <v>2</v>
      </c>
      <c r="F100" s="92">
        <f>CPU_!F534</f>
        <v>157.11795000000001</v>
      </c>
      <c r="G100" s="96">
        <f t="shared" si="1"/>
        <v>314.23</v>
      </c>
    </row>
    <row r="101" spans="1:11" s="20" customFormat="1">
      <c r="A101" s="205" t="s">
        <v>1514</v>
      </c>
      <c r="B101" s="91" t="str">
        <f>CPU_!B540</f>
        <v>TCPO 15141.8.8</v>
      </c>
      <c r="C101" s="90" t="str">
        <f>CPU_!C540</f>
        <v>Cruzeta de aço carbono 1.1/2”</v>
      </c>
      <c r="D101" s="91" t="str">
        <f>CPU_!D540</f>
        <v>PÇ</v>
      </c>
      <c r="E101" s="248">
        <v>6</v>
      </c>
      <c r="F101" s="92">
        <f>CPU_!F540</f>
        <v>124.49794999999999</v>
      </c>
      <c r="G101" s="96">
        <f t="shared" si="1"/>
        <v>746.98</v>
      </c>
    </row>
    <row r="102" spans="1:11" s="20" customFormat="1">
      <c r="A102" s="205" t="s">
        <v>1515</v>
      </c>
      <c r="B102" s="91" t="str">
        <f>CPU_!B546</f>
        <v>TCPO 15141.8.24</v>
      </c>
      <c r="C102" s="90" t="str">
        <f>CPU_!C546</f>
        <v>Tê 90º aço carbono 2", fornecimento e instalação</v>
      </c>
      <c r="D102" s="91" t="str">
        <f>CPU_!D546</f>
        <v>PÇ</v>
      </c>
      <c r="E102" s="248">
        <v>1</v>
      </c>
      <c r="F102" s="92">
        <f>CPU_!F546</f>
        <v>113.52915</v>
      </c>
      <c r="G102" s="96">
        <f t="shared" si="1"/>
        <v>113.52</v>
      </c>
    </row>
    <row r="103" spans="1:11" s="20" customFormat="1">
      <c r="A103" s="205" t="s">
        <v>1516</v>
      </c>
      <c r="B103" s="91" t="str">
        <f>CPU_!B552</f>
        <v>TCPO 15141.8.24</v>
      </c>
      <c r="C103" s="90" t="str">
        <f>CPU_!C552</f>
        <v>Tê 90º aço carbono 1.1/2", fornecimento e instalação</v>
      </c>
      <c r="D103" s="91" t="str">
        <f>CPU_!D552</f>
        <v>PÇ</v>
      </c>
      <c r="E103" s="248">
        <v>4</v>
      </c>
      <c r="F103" s="92">
        <f>CPU_!F552</f>
        <v>86.219149999999999</v>
      </c>
      <c r="G103" s="96">
        <f t="shared" si="1"/>
        <v>344.87</v>
      </c>
    </row>
    <row r="104" spans="1:11" s="20" customFormat="1">
      <c r="A104" s="205" t="s">
        <v>1517</v>
      </c>
      <c r="B104" s="91" t="str">
        <f>CPU_!B558</f>
        <v>TCPO 15141.8.24</v>
      </c>
      <c r="C104" s="90" t="str">
        <f>CPU_!C558</f>
        <v>Tê 90º aço carbono 1", fornecimento e instalação</v>
      </c>
      <c r="D104" s="91" t="str">
        <f>CPU_!D558</f>
        <v>PÇ</v>
      </c>
      <c r="E104" s="248">
        <v>21</v>
      </c>
      <c r="F104" s="92">
        <f>CPU_!F558</f>
        <v>63.579149999999998</v>
      </c>
      <c r="G104" s="96">
        <f t="shared" si="1"/>
        <v>1335.16</v>
      </c>
    </row>
    <row r="105" spans="1:11" s="20" customFormat="1">
      <c r="A105" s="205" t="s">
        <v>1518</v>
      </c>
      <c r="B105" s="91" t="str">
        <f>CPU_!B564</f>
        <v>TCPO 15141.8.26</v>
      </c>
      <c r="C105" s="90" t="str">
        <f>CPU_!C564</f>
        <v>Tê 90º de redução aço carbono 4"x1.1/2", fornecimento e instalação</v>
      </c>
      <c r="D105" s="91" t="str">
        <f>CPU_!D564</f>
        <v>PÇ</v>
      </c>
      <c r="E105" s="248">
        <v>2</v>
      </c>
      <c r="F105" s="92">
        <f>CPU_!F564</f>
        <v>455.24899999999997</v>
      </c>
      <c r="G105" s="96">
        <f t="shared" si="1"/>
        <v>910.49</v>
      </c>
    </row>
    <row r="106" spans="1:11" s="20" customFormat="1">
      <c r="A106" s="205" t="s">
        <v>1519</v>
      </c>
      <c r="B106" s="91" t="str">
        <f>CPU_!B569</f>
        <v>TCPO 15141.8.26</v>
      </c>
      <c r="C106" s="90" t="str">
        <f>CPU_!C569</f>
        <v>Tê 90º de redução aço carbono 2.1/2"x1", fornecimento e instalação</v>
      </c>
      <c r="D106" s="91" t="str">
        <f>CPU_!D569</f>
        <v>PÇ</v>
      </c>
      <c r="E106" s="248">
        <v>1</v>
      </c>
      <c r="F106" s="92">
        <f>CPU_!F569</f>
        <v>193.29899999999998</v>
      </c>
      <c r="G106" s="96">
        <f t="shared" si="1"/>
        <v>193.29</v>
      </c>
    </row>
    <row r="107" spans="1:11" s="20" customFormat="1">
      <c r="A107" s="205" t="s">
        <v>1520</v>
      </c>
      <c r="B107" s="91" t="str">
        <f>CPU_!B574</f>
        <v>TCPO 15141.8.26</v>
      </c>
      <c r="C107" s="90" t="str">
        <f>CPU_!C574</f>
        <v>Tê 90º de redução aço carbono 2"x1", fornecimento e instalação</v>
      </c>
      <c r="D107" s="91" t="str">
        <f>CPU_!D574</f>
        <v>PÇ</v>
      </c>
      <c r="E107" s="248">
        <v>4</v>
      </c>
      <c r="F107" s="92">
        <f>CPU_!F574</f>
        <v>123.28900000000002</v>
      </c>
      <c r="G107" s="96">
        <f t="shared" si="1"/>
        <v>493.15</v>
      </c>
    </row>
    <row r="108" spans="1:11" s="20" customFormat="1">
      <c r="A108" s="205" t="s">
        <v>1521</v>
      </c>
      <c r="B108" s="91" t="str">
        <f>CPU_!B579</f>
        <v>TCPO 15141.8.26</v>
      </c>
      <c r="C108" s="90" t="str">
        <f>CPU_!C579</f>
        <v>Tê 90º de redução aço carbono 1.1/2"x1.1/4", fornecimento e instalação</v>
      </c>
      <c r="D108" s="91" t="str">
        <f>CPU_!D579</f>
        <v>PÇ</v>
      </c>
      <c r="E108" s="248">
        <v>2</v>
      </c>
      <c r="F108" s="92">
        <f>CPU_!F579</f>
        <v>193.29899999999998</v>
      </c>
      <c r="G108" s="96">
        <f t="shared" si="1"/>
        <v>386.59</v>
      </c>
      <c r="K108" s="78"/>
    </row>
    <row r="109" spans="1:11" s="20" customFormat="1">
      <c r="A109" s="205" t="s">
        <v>1522</v>
      </c>
      <c r="B109" s="91" t="str">
        <f>CPU_!B584</f>
        <v>TCPO 15141.8.26</v>
      </c>
      <c r="C109" s="90" t="str">
        <f>CPU_!C584</f>
        <v>Tê 90º de redução aço carbono 1.1/2"x1", fornecimento e instalação</v>
      </c>
      <c r="D109" s="91" t="str">
        <f>CPU_!D584</f>
        <v>PÇ</v>
      </c>
      <c r="E109" s="248">
        <v>9</v>
      </c>
      <c r="F109" s="92">
        <f>CPU_!F584</f>
        <v>96.239000000000004</v>
      </c>
      <c r="G109" s="96">
        <f t="shared" si="1"/>
        <v>866.15</v>
      </c>
      <c r="K109" s="78"/>
    </row>
    <row r="110" spans="1:11" s="20" customFormat="1">
      <c r="A110" s="205" t="s">
        <v>1523</v>
      </c>
      <c r="B110" s="91" t="str">
        <f>CPU_!B589</f>
        <v>TCPO 15141.8.26</v>
      </c>
      <c r="C110" s="90" t="str">
        <f>CPU_!C589</f>
        <v>Tê 90º de redução aço carbono 1.1/4"x1", fornecimento e instalação</v>
      </c>
      <c r="D110" s="91" t="str">
        <f>CPU_!D589</f>
        <v>PÇ</v>
      </c>
      <c r="E110" s="248">
        <v>8</v>
      </c>
      <c r="F110" s="92">
        <f>CPU_!F589</f>
        <v>82.899000000000001</v>
      </c>
      <c r="G110" s="96">
        <f t="shared" si="1"/>
        <v>663.19</v>
      </c>
      <c r="K110" s="78"/>
    </row>
    <row r="111" spans="1:11" s="20" customFormat="1">
      <c r="A111" s="205" t="s">
        <v>1524</v>
      </c>
      <c r="B111" s="91" t="str">
        <f>CPU_!B594</f>
        <v>TCPO 15141.8.27</v>
      </c>
      <c r="C111" s="90" t="str">
        <f>CPU_!C594</f>
        <v>Tubo de aço galvanizado com costura 1" (25 mm), fornecimento e instalação</v>
      </c>
      <c r="D111" s="91" t="str">
        <f>CPU_!D594</f>
        <v>M</v>
      </c>
      <c r="E111" s="248">
        <v>174</v>
      </c>
      <c r="F111" s="92">
        <f>CPU_!F594</f>
        <v>81.424341999999996</v>
      </c>
      <c r="G111" s="96">
        <f t="shared" si="1"/>
        <v>14167.83</v>
      </c>
      <c r="K111" s="78"/>
    </row>
    <row r="112" spans="1:11" s="20" customFormat="1">
      <c r="A112" s="205" t="s">
        <v>1525</v>
      </c>
      <c r="B112" s="91" t="str">
        <f>CPU_!B599</f>
        <v>TCPO 15141.8.27</v>
      </c>
      <c r="C112" s="90" t="str">
        <f>CPU_!C599</f>
        <v>Tubo de aço galvanizado com costura 1.1/4" (32 mm), fornecimento e instalação</v>
      </c>
      <c r="D112" s="91" t="str">
        <f>CPU_!D599</f>
        <v>M</v>
      </c>
      <c r="E112" s="248">
        <v>54</v>
      </c>
      <c r="F112" s="92">
        <f>CPU_!F599</f>
        <v>93.279689999999988</v>
      </c>
      <c r="G112" s="96">
        <f t="shared" si="1"/>
        <v>5037.1000000000004</v>
      </c>
      <c r="K112" s="78"/>
    </row>
    <row r="113" spans="1:11" s="20" customFormat="1">
      <c r="A113" s="205" t="s">
        <v>1526</v>
      </c>
      <c r="B113" s="91" t="str">
        <f>CPU_!B604</f>
        <v>TCPO 15141.8.27</v>
      </c>
      <c r="C113" s="90" t="str">
        <f>CPU_!C604</f>
        <v>Tubo de aço galvanizado com costura 1.1/2" (40 mm), fornecimento e instalação</v>
      </c>
      <c r="D113" s="91" t="str">
        <f>CPU_!D604</f>
        <v>M</v>
      </c>
      <c r="E113" s="248">
        <v>48</v>
      </c>
      <c r="F113" s="92">
        <f>CPU_!F604</f>
        <v>102.55206799999999</v>
      </c>
      <c r="G113" s="96">
        <f t="shared" si="1"/>
        <v>4922.49</v>
      </c>
      <c r="K113" s="78"/>
    </row>
    <row r="114" spans="1:11" s="20" customFormat="1">
      <c r="A114" s="205" t="s">
        <v>1527</v>
      </c>
      <c r="B114" s="91" t="str">
        <f>CPU_!B609</f>
        <v>TCPO 15141.8.27</v>
      </c>
      <c r="C114" s="90" t="str">
        <f>CPU_!C609</f>
        <v>Tubo de aço galvanizado com costura 2" (50 mm), fornecimento e instalação</v>
      </c>
      <c r="D114" s="91" t="str">
        <f>CPU_!D609</f>
        <v>M</v>
      </c>
      <c r="E114" s="248">
        <v>18</v>
      </c>
      <c r="F114" s="92">
        <f>CPU_!F609</f>
        <v>131.88753599999998</v>
      </c>
      <c r="G114" s="96">
        <f t="shared" si="1"/>
        <v>2373.9699999999998</v>
      </c>
      <c r="K114" s="78"/>
    </row>
    <row r="115" spans="1:11" s="20" customFormat="1">
      <c r="A115" s="205" t="s">
        <v>1528</v>
      </c>
      <c r="B115" s="91" t="str">
        <f>CPU_!B614</f>
        <v>TCPO 15141.8.27</v>
      </c>
      <c r="C115" s="90" t="str">
        <f>CPU_!C614</f>
        <v>Tubo de aço galvanizado com costura 2.1/2" (65 mm), fornecimento e instalação</v>
      </c>
      <c r="D115" s="91" t="str">
        <f>CPU_!D614</f>
        <v>M</v>
      </c>
      <c r="E115" s="248">
        <v>12</v>
      </c>
      <c r="F115" s="92">
        <f>CPU_!F614</f>
        <v>154.98689400000001</v>
      </c>
      <c r="G115" s="96">
        <f t="shared" si="1"/>
        <v>1859.84</v>
      </c>
      <c r="K115" s="78"/>
    </row>
    <row r="116" spans="1:11" s="20" customFormat="1">
      <c r="A116" s="205" t="s">
        <v>1529</v>
      </c>
      <c r="B116" s="91" t="str">
        <f>CPU_!B619</f>
        <v>TCPO 15141.8.27</v>
      </c>
      <c r="C116" s="90" t="str">
        <f>CPU_!C619</f>
        <v>Tubo de aço galvanizado com costura 3" (80 mm), fornecimento e instalação</v>
      </c>
      <c r="D116" s="91" t="str">
        <f>CPU_!D619</f>
        <v>M</v>
      </c>
      <c r="E116" s="248">
        <v>12</v>
      </c>
      <c r="F116" s="92">
        <f>CPU_!F619</f>
        <v>196.01111199999997</v>
      </c>
      <c r="G116" s="96">
        <f t="shared" si="1"/>
        <v>2352.13</v>
      </c>
      <c r="K116" s="78"/>
    </row>
    <row r="117" spans="1:11" s="20" customFormat="1">
      <c r="A117" s="205" t="s">
        <v>1530</v>
      </c>
      <c r="B117" s="91">
        <f>CPU_!B624</f>
        <v>95696</v>
      </c>
      <c r="C117" s="90" t="str">
        <f>CPU_!C624</f>
        <v>Sprinkler tipo pendente, orifício nominal Ø 1/2”, temperatura de operação 68º C, fornecimento e instalação</v>
      </c>
      <c r="D117" s="91" t="str">
        <f>CPU_!D624</f>
        <v>PÇ</v>
      </c>
      <c r="E117" s="248">
        <v>110</v>
      </c>
      <c r="F117" s="92">
        <f>CPU_!F624</f>
        <v>44.36</v>
      </c>
      <c r="G117" s="96">
        <f t="shared" si="1"/>
        <v>4879.6000000000004</v>
      </c>
      <c r="K117" s="78"/>
    </row>
    <row r="118" spans="1:11" s="20" customFormat="1">
      <c r="A118" s="205" t="s">
        <v>1531</v>
      </c>
      <c r="B118" s="91" t="str">
        <f>CPU_!B630</f>
        <v>PROPRIA</v>
      </c>
      <c r="C118" s="90" t="str">
        <f>CPU_!C630</f>
        <v xml:space="preserve">Suportes diversos para tubos </v>
      </c>
      <c r="D118" s="91" t="str">
        <f>CPU_!D630</f>
        <v>PÇ</v>
      </c>
      <c r="E118" s="248">
        <v>225</v>
      </c>
      <c r="F118" s="92">
        <f>CPU_!F630</f>
        <v>11.299000000000001</v>
      </c>
      <c r="G118" s="96">
        <f t="shared" si="1"/>
        <v>2542.27</v>
      </c>
      <c r="K118" s="78"/>
    </row>
    <row r="119" spans="1:11" s="20" customFormat="1">
      <c r="A119" s="205" t="s">
        <v>1532</v>
      </c>
      <c r="B119" s="91" t="str">
        <f>CPU_!B634</f>
        <v>Projeto</v>
      </c>
      <c r="C119" s="90" t="str">
        <f>CPU_!C634</f>
        <v>Desmontagem parcial de trechos da hidráulica SPK  (montador + ajudante)</v>
      </c>
      <c r="D119" s="91" t="str">
        <f>CPU_!D634</f>
        <v>VB</v>
      </c>
      <c r="E119" s="248">
        <v>1</v>
      </c>
      <c r="F119" s="92">
        <f>CPU_!F634</f>
        <v>6176.4000000000005</v>
      </c>
      <c r="G119" s="96">
        <f t="shared" si="1"/>
        <v>6176.4</v>
      </c>
      <c r="K119" s="78"/>
    </row>
    <row r="120" spans="1:11" s="20" customFormat="1">
      <c r="A120" s="205" t="s">
        <v>1533</v>
      </c>
      <c r="B120" s="91" t="str">
        <f>CPU_!B637</f>
        <v>Projeto</v>
      </c>
      <c r="C120" s="90" t="str">
        <f>CPU_!C637</f>
        <v xml:space="preserve">Desmontagem das bombas SPK existentes </v>
      </c>
      <c r="D120" s="91" t="str">
        <f>CPU_!D637</f>
        <v>VB</v>
      </c>
      <c r="E120" s="248">
        <v>1</v>
      </c>
      <c r="F120" s="92">
        <f>CPU_!F637</f>
        <v>926.46</v>
      </c>
      <c r="G120" s="96">
        <f t="shared" si="1"/>
        <v>926.46</v>
      </c>
      <c r="K120" s="78"/>
    </row>
    <row r="121" spans="1:11" s="20" customFormat="1">
      <c r="A121" s="205" t="s">
        <v>1534</v>
      </c>
      <c r="B121" s="91" t="str">
        <f>CPU_!B640</f>
        <v>Projeto</v>
      </c>
      <c r="C121" s="90" t="str">
        <f>CPU_!C640</f>
        <v xml:space="preserve">Montagem e interligação dos trechos da hidráulica SPK </v>
      </c>
      <c r="D121" s="91" t="str">
        <f>CPU_!D640</f>
        <v>VB</v>
      </c>
      <c r="E121" s="248">
        <v>1</v>
      </c>
      <c r="F121" s="92">
        <f>CPU_!F640</f>
        <v>46720.800000000003</v>
      </c>
      <c r="G121" s="96">
        <f t="shared" si="1"/>
        <v>46720.800000000003</v>
      </c>
      <c r="K121" s="78"/>
    </row>
    <row r="122" spans="1:11" s="20" customFormat="1">
      <c r="A122" s="205" t="s">
        <v>1535</v>
      </c>
      <c r="B122" s="91" t="str">
        <f>CPU_!B643</f>
        <v>Projeto</v>
      </c>
      <c r="C122" s="90" t="str">
        <f>CPU_!C643</f>
        <v>PINTURA TUBULAÇÃO</v>
      </c>
      <c r="D122" s="91" t="str">
        <f>CPU_!D643</f>
        <v>VB</v>
      </c>
      <c r="E122" s="248">
        <v>1</v>
      </c>
      <c r="F122" s="92">
        <f>CPU_!F643</f>
        <v>1767.36</v>
      </c>
      <c r="G122" s="96">
        <f t="shared" si="1"/>
        <v>1767.36</v>
      </c>
      <c r="K122" s="78"/>
    </row>
    <row r="123" spans="1:11" s="20" customFormat="1">
      <c r="A123" s="205" t="s">
        <v>1536</v>
      </c>
      <c r="B123" s="91">
        <f>CPU_!B646</f>
        <v>91120</v>
      </c>
      <c r="C123" s="90" t="str">
        <f>CPU_!C646</f>
        <v>TRANSPORTE HORIZONTAL DE TUBOS E CONEXÕES DE AÇO CARBONO MANUAL</v>
      </c>
      <c r="D123" s="91" t="str">
        <f>CPU_!D646</f>
        <v>VB</v>
      </c>
      <c r="E123" s="248">
        <v>1</v>
      </c>
      <c r="F123" s="92">
        <f>CPU_!F646</f>
        <v>251.25949800000001</v>
      </c>
      <c r="G123" s="96">
        <f t="shared" si="1"/>
        <v>251.25</v>
      </c>
      <c r="K123" s="78"/>
    </row>
    <row r="124" spans="1:11" s="20" customFormat="1">
      <c r="A124" s="205" t="s">
        <v>1537</v>
      </c>
      <c r="B124" s="91" t="str">
        <f>CPU_!B648</f>
        <v>PROPRIA</v>
      </c>
      <c r="C124" s="90" t="str">
        <f>CPU_!C648</f>
        <v>ELABORAÇÃO DE AS BUILT DE SISTEMA DE INCENDIO</v>
      </c>
      <c r="D124" s="91" t="str">
        <f>CPU_!D648</f>
        <v>VB</v>
      </c>
      <c r="E124" s="248">
        <v>1</v>
      </c>
      <c r="F124" s="92">
        <f>CPU_!F648</f>
        <v>1121.52</v>
      </c>
      <c r="G124" s="96">
        <f t="shared" si="1"/>
        <v>1121.52</v>
      </c>
      <c r="K124" s="78"/>
    </row>
    <row r="125" spans="1:11" s="20" customFormat="1">
      <c r="A125" s="205" t="s">
        <v>434</v>
      </c>
      <c r="B125" s="93" t="str">
        <f>CPU_!B651</f>
        <v>PROPRIA</v>
      </c>
      <c r="C125" s="236" t="str">
        <f>CPU_!C651</f>
        <v>Manutenção nível 1 e 2 para Extintor de incêndio com carga de PQS – 4kg - BC, com recarga</v>
      </c>
      <c r="D125" s="93" t="str">
        <f>CPU_!D651</f>
        <v>UNID</v>
      </c>
      <c r="E125" s="250">
        <v>40</v>
      </c>
      <c r="F125" s="92">
        <f>CPU_!F651</f>
        <v>16.72</v>
      </c>
      <c r="G125" s="96">
        <f t="shared" si="1"/>
        <v>668.8</v>
      </c>
      <c r="K125" s="78"/>
    </row>
    <row r="126" spans="1:11" s="20" customFormat="1">
      <c r="A126" s="205" t="s">
        <v>435</v>
      </c>
      <c r="B126" s="93" t="str">
        <f>CPU_!B652</f>
        <v>PROPRIA</v>
      </c>
      <c r="C126" s="236" t="str">
        <f>CPU_!C652</f>
        <v>Manutenção nível 1 e 2 para Extintor de incêndio com carga de PQS – 6kg - ABC, com recarga</v>
      </c>
      <c r="D126" s="93" t="str">
        <f>CPU_!D652</f>
        <v>UNID</v>
      </c>
      <c r="E126" s="250">
        <f>51+17</f>
        <v>68</v>
      </c>
      <c r="F126" s="92">
        <f>CPU_!F652</f>
        <v>17.7075</v>
      </c>
      <c r="G126" s="96">
        <f t="shared" si="1"/>
        <v>1204.1099999999999</v>
      </c>
      <c r="K126" s="78"/>
    </row>
    <row r="127" spans="1:11" s="20" customFormat="1">
      <c r="A127" s="205" t="s">
        <v>436</v>
      </c>
      <c r="B127" s="93" t="str">
        <f>CPU_!B653</f>
        <v>PROPRIA</v>
      </c>
      <c r="C127" s="236" t="str">
        <f>CPU_!C653</f>
        <v>Manutenção nível 1 e 2 para Extintor de incêndio com carga de PQS – 4kg – ABC</v>
      </c>
      <c r="D127" s="93" t="str">
        <f>CPU_!D653</f>
        <v>UNID</v>
      </c>
      <c r="E127" s="250">
        <v>1</v>
      </c>
      <c r="F127" s="92">
        <f>CPU_!F653</f>
        <v>17.97</v>
      </c>
      <c r="G127" s="96">
        <f t="shared" si="1"/>
        <v>17.97</v>
      </c>
      <c r="K127" s="78"/>
    </row>
    <row r="128" spans="1:11" s="20" customFormat="1">
      <c r="A128" s="205" t="s">
        <v>437</v>
      </c>
      <c r="B128" s="93" t="str">
        <f>CPU_!B654</f>
        <v>PROPRIA</v>
      </c>
      <c r="C128" s="236" t="str">
        <f>CPU_!C654</f>
        <v>Manutenção nível 1 e 2 para Extintor de incêndio com carga de Água pressurizada – 10 litros, com recarga</v>
      </c>
      <c r="D128" s="93" t="str">
        <f>CPU_!D654</f>
        <v>UNID</v>
      </c>
      <c r="E128" s="250">
        <v>9</v>
      </c>
      <c r="F128" s="92">
        <f>CPU_!F654</f>
        <v>20.5</v>
      </c>
      <c r="G128" s="96">
        <f t="shared" si="1"/>
        <v>184.5</v>
      </c>
      <c r="K128" s="78"/>
    </row>
    <row r="129" spans="1:11" s="20" customFormat="1">
      <c r="A129" s="205" t="s">
        <v>438</v>
      </c>
      <c r="B129" s="93" t="str">
        <f>CPU_!B655</f>
        <v>PROPRIA</v>
      </c>
      <c r="C129" s="236" t="str">
        <f>CPU_!C655</f>
        <v>Manutenção nível 1 e 2 Extintor de incêndio com carga de CO2 – 6kg, com recarga</v>
      </c>
      <c r="D129" s="93" t="str">
        <f>CPU_!D655</f>
        <v>UNID</v>
      </c>
      <c r="E129" s="250">
        <f>2+8</f>
        <v>10</v>
      </c>
      <c r="F129" s="92">
        <f>CPU_!F655</f>
        <v>54.164999999999999</v>
      </c>
      <c r="G129" s="96">
        <f t="shared" si="1"/>
        <v>541.65</v>
      </c>
      <c r="K129" s="78"/>
    </row>
    <row r="130" spans="1:11" s="20" customFormat="1">
      <c r="A130" s="205" t="s">
        <v>439</v>
      </c>
      <c r="B130" s="93" t="str">
        <f>CPU_!B656</f>
        <v>PROPRIA</v>
      </c>
      <c r="C130" s="236" t="str">
        <f>CPU_!C656</f>
        <v>Teste hidrostático para Extintor de incêndio com carga de PQS – 4kg - BC</v>
      </c>
      <c r="D130" s="93" t="str">
        <f>CPU_!D656</f>
        <v>UNID</v>
      </c>
      <c r="E130" s="250">
        <v>40</v>
      </c>
      <c r="F130" s="92">
        <f>CPU_!F656</f>
        <v>4.126666666666666</v>
      </c>
      <c r="G130" s="96">
        <f t="shared" si="1"/>
        <v>165.06</v>
      </c>
    </row>
    <row r="131" spans="1:11" s="20" customFormat="1">
      <c r="A131" s="205" t="s">
        <v>440</v>
      </c>
      <c r="B131" s="93" t="str">
        <f>CPU_!B657</f>
        <v>PROPRIA</v>
      </c>
      <c r="C131" s="236" t="str">
        <f>CPU_!C657</f>
        <v>Teste hidrostático para Extintor de incêndio com carga de PQS – 6kg - ABC</v>
      </c>
      <c r="D131" s="93" t="str">
        <f>CPU_!D657</f>
        <v>UNID</v>
      </c>
      <c r="E131" s="250">
        <f>51+17</f>
        <v>68</v>
      </c>
      <c r="F131" s="92">
        <f>CPU_!F657</f>
        <v>3.9433333333333329</v>
      </c>
      <c r="G131" s="96">
        <f t="shared" si="1"/>
        <v>268.14</v>
      </c>
    </row>
    <row r="132" spans="1:11" s="20" customFormat="1">
      <c r="A132" s="205" t="s">
        <v>441</v>
      </c>
      <c r="B132" s="93" t="str">
        <f>CPU_!B658</f>
        <v>PROPRIA</v>
      </c>
      <c r="C132" s="236" t="str">
        <f>CPU_!C658</f>
        <v>Teste hidrostático para Extintor de incêndio com carga de PQS – 4kg – ABC</v>
      </c>
      <c r="D132" s="93" t="str">
        <f>CPU_!D658</f>
        <v>UNID</v>
      </c>
      <c r="E132" s="250">
        <v>1</v>
      </c>
      <c r="F132" s="92">
        <f>CPU_!F658</f>
        <v>4.126666666666666</v>
      </c>
      <c r="G132" s="96">
        <f t="shared" si="1"/>
        <v>4.12</v>
      </c>
    </row>
    <row r="133" spans="1:11" s="20" customFormat="1">
      <c r="A133" s="205" t="s">
        <v>442</v>
      </c>
      <c r="B133" s="93" t="str">
        <f>CPU_!B659</f>
        <v>PROPRIA</v>
      </c>
      <c r="C133" s="236" t="str">
        <f>CPU_!C659</f>
        <v>Teste hidrostático para Extintor de incêndio com carga de Água pressurizada – 10 litros</v>
      </c>
      <c r="D133" s="93" t="str">
        <f>CPU_!D659</f>
        <v>UNID</v>
      </c>
      <c r="E133" s="250">
        <v>9</v>
      </c>
      <c r="F133" s="92">
        <f>CPU_!F659</f>
        <v>4</v>
      </c>
      <c r="G133" s="96">
        <f t="shared" ref="G133:G148" si="2">TRUNC(E133*F133,2)</f>
        <v>36</v>
      </c>
    </row>
    <row r="134" spans="1:11" s="20" customFormat="1">
      <c r="A134" s="205" t="s">
        <v>443</v>
      </c>
      <c r="B134" s="93" t="str">
        <f>CPU_!B660</f>
        <v>PROPRIA</v>
      </c>
      <c r="C134" s="236" t="str">
        <f>CPU_!C660</f>
        <v>Teste hidrostático Extintor de incêndio com carga de CO2 – 6kg</v>
      </c>
      <c r="D134" s="93" t="str">
        <f>CPU_!D660</f>
        <v>UNID</v>
      </c>
      <c r="E134" s="250">
        <f>2+8</f>
        <v>10</v>
      </c>
      <c r="F134" s="92">
        <f>CPU_!F660</f>
        <v>8.2033333333333331</v>
      </c>
      <c r="G134" s="96">
        <f t="shared" si="2"/>
        <v>82.03</v>
      </c>
    </row>
    <row r="135" spans="1:11" s="20" customFormat="1">
      <c r="A135" s="205" t="s">
        <v>444</v>
      </c>
      <c r="B135" s="93" t="str">
        <f>CPU_!B661</f>
        <v>PROPRIA</v>
      </c>
      <c r="C135" s="236" t="str">
        <f>CPU_!C661</f>
        <v>Teste hidrostático de mangueira de incêndio com emissão de relatório</v>
      </c>
      <c r="D135" s="93" t="str">
        <f>CPU_!D661</f>
        <v>UNID</v>
      </c>
      <c r="E135" s="250">
        <v>145</v>
      </c>
      <c r="F135" s="92">
        <f>CPU_!F661</f>
        <v>8.49</v>
      </c>
      <c r="G135" s="96">
        <f t="shared" si="2"/>
        <v>1231.05</v>
      </c>
    </row>
    <row r="136" spans="1:11" s="20" customFormat="1" ht="31.5">
      <c r="A136" s="205" t="s">
        <v>445</v>
      </c>
      <c r="B136" s="89" t="str">
        <f>CPU_!B662</f>
        <v>94991</v>
      </c>
      <c r="C136" s="90" t="str">
        <f>CPU_!C662</f>
        <v>EXECUÇÃO DE PASSEIO (CALÇADA) OU PISO DE CONCRETO COM CONCRETO MOLDADO IN LOCO, USINADO, ACABAMENTO CONVENCIONAL, NÃO ARMADO. AF_08/2022</v>
      </c>
      <c r="D136" s="89" t="str">
        <f>CPU_!D662</f>
        <v>M3</v>
      </c>
      <c r="E136" s="248">
        <v>5</v>
      </c>
      <c r="F136" s="92">
        <f>CPU_!F662</f>
        <v>656.03</v>
      </c>
      <c r="G136" s="96">
        <f t="shared" si="2"/>
        <v>3280.15</v>
      </c>
    </row>
    <row r="137" spans="1:11" s="20" customFormat="1">
      <c r="A137" s="205" t="s">
        <v>446</v>
      </c>
      <c r="B137" s="89">
        <f>CPU_!B671</f>
        <v>95241</v>
      </c>
      <c r="C137" s="90" t="str">
        <f>CPU_!C671</f>
        <v>LASTRO DE CONCRETO MAGRO, APLICADO EM PISOS, LAJES SOBRE SOLO OU RADIER, ESPESSURA DE 5CM</v>
      </c>
      <c r="D137" s="89" t="str">
        <f>CPU_!D671</f>
        <v>M2</v>
      </c>
      <c r="E137" s="248">
        <v>450</v>
      </c>
      <c r="F137" s="92">
        <f>CPU_!F671</f>
        <v>38.369999999999997</v>
      </c>
      <c r="G137" s="96">
        <f t="shared" si="2"/>
        <v>17266.5</v>
      </c>
    </row>
    <row r="138" spans="1:11" s="20" customFormat="1" ht="31.5">
      <c r="A138" s="205" t="s">
        <v>447</v>
      </c>
      <c r="B138" s="89">
        <f>CPU_!B675</f>
        <v>96624</v>
      </c>
      <c r="C138" s="90" t="str">
        <f>CPU_!C675</f>
        <v>LASTRO COM MATERIAL GRANULAR (PEDRA BRITADA N.2), APLICADO EM PISOS OU LAJES SOBRE SOLO, ESPESSURA DE *10 CM*</v>
      </c>
      <c r="D138" s="89" t="str">
        <f>CPU_!D675</f>
        <v>M3</v>
      </c>
      <c r="E138" s="248">
        <v>80</v>
      </c>
      <c r="F138" s="92">
        <f>CPU_!F675</f>
        <v>249.21</v>
      </c>
      <c r="G138" s="96">
        <f t="shared" si="2"/>
        <v>19936.8</v>
      </c>
    </row>
    <row r="139" spans="1:11" s="20" customFormat="1">
      <c r="A139" s="205" t="s">
        <v>448</v>
      </c>
      <c r="B139" s="91">
        <f>CPU_!B681</f>
        <v>103913</v>
      </c>
      <c r="C139" s="90" t="str">
        <f>CPU_!C681</f>
        <v>EXECUÇÃO DE PISO INDUSTRIAL DE CONCRETO ARMADO, FCK = 20 MPA, ESPESSURA DE 12CM</v>
      </c>
      <c r="D139" s="91" t="str">
        <f>CPU_!D681</f>
        <v>M2</v>
      </c>
      <c r="E139" s="248">
        <v>300</v>
      </c>
      <c r="F139" s="92">
        <f>CPU_!F681</f>
        <v>114.82</v>
      </c>
      <c r="G139" s="96">
        <f t="shared" si="2"/>
        <v>34446</v>
      </c>
    </row>
    <row r="140" spans="1:11" s="20" customFormat="1" ht="31.5">
      <c r="A140" s="205" t="s">
        <v>449</v>
      </c>
      <c r="B140" s="91">
        <f>CPU_!B695</f>
        <v>97083</v>
      </c>
      <c r="C140" s="90" t="str">
        <f>CPU_!C695</f>
        <v>COMPACTAÇÃO MECÂNICA DE SOLO PARA EXECUÇÃO DE RADIER, PISO DE CONCRETO OU LAJE SOBRE SOLO, COM COMPACTADOR DE SOLOS A PERCUSSÃO</v>
      </c>
      <c r="D140" s="91" t="str">
        <f>CPU_!D695</f>
        <v>M2</v>
      </c>
      <c r="E140" s="248">
        <v>300</v>
      </c>
      <c r="F140" s="92">
        <f>CPU_!F695</f>
        <v>3.43</v>
      </c>
      <c r="G140" s="96">
        <f t="shared" si="2"/>
        <v>1029</v>
      </c>
    </row>
    <row r="141" spans="1:11" s="20" customFormat="1" ht="31.5">
      <c r="A141" s="205" t="s">
        <v>450</v>
      </c>
      <c r="B141" s="91">
        <f>CPU_!B700</f>
        <v>101090</v>
      </c>
      <c r="C141" s="90" t="str">
        <f>CPU_!C700</f>
        <v>PISO EM PEDRA PORTUGUESA ASSENTADO SOBRE ARGAMASSA SECA DE CIMENTO E AREIA, REJUNTADO COM CIMENTO</v>
      </c>
      <c r="D141" s="91" t="str">
        <f>CPU_!D700</f>
        <v>M2</v>
      </c>
      <c r="E141" s="248">
        <v>10</v>
      </c>
      <c r="F141" s="92">
        <f>CPU_!F700</f>
        <v>202.33</v>
      </c>
      <c r="G141" s="96">
        <f t="shared" si="2"/>
        <v>2023.3</v>
      </c>
    </row>
    <row r="142" spans="1:11" s="20" customFormat="1">
      <c r="A142" s="205" t="s">
        <v>451</v>
      </c>
      <c r="B142" s="91" t="str">
        <f>CPU_!B707</f>
        <v>98524</v>
      </c>
      <c r="C142" s="90" t="str">
        <f>CPU_!C707</f>
        <v>LIMPEZA MANUAL DE VEGETAÇÃO EM TERRENO COM ENXADA</v>
      </c>
      <c r="D142" s="91" t="str">
        <f>CPU_!D707</f>
        <v>M2</v>
      </c>
      <c r="E142" s="248">
        <v>2330</v>
      </c>
      <c r="F142" s="92">
        <f>CPU_!F707</f>
        <v>3.23</v>
      </c>
      <c r="G142" s="96">
        <f t="shared" si="2"/>
        <v>7525.9</v>
      </c>
    </row>
    <row r="143" spans="1:11">
      <c r="A143" s="205" t="s">
        <v>452</v>
      </c>
      <c r="B143" s="28">
        <f>CPU_!B710</f>
        <v>90778</v>
      </c>
      <c r="C143" s="29" t="str">
        <f>CPU_!C710</f>
        <v>MAO DE OBRA - Engenheiro Pleno com encargos complementares</v>
      </c>
      <c r="D143" s="28" t="str">
        <f>CPU_!D710</f>
        <v>H</v>
      </c>
      <c r="E143" s="250">
        <v>50</v>
      </c>
      <c r="F143" s="27">
        <f>CPU_!F710</f>
        <v>126.1</v>
      </c>
      <c r="G143" s="96">
        <f t="shared" si="2"/>
        <v>6305</v>
      </c>
    </row>
    <row r="144" spans="1:11">
      <c r="A144" s="205" t="s">
        <v>453</v>
      </c>
      <c r="B144" s="28" t="str">
        <f>CPU_!B711</f>
        <v>90769</v>
      </c>
      <c r="C144" s="29" t="str">
        <f>CPU_!C711</f>
        <v>MAO DE OBRA - Arquiteto Pleno com encargos complementares</v>
      </c>
      <c r="D144" s="28" t="str">
        <f>CPU_!D711</f>
        <v>H</v>
      </c>
      <c r="E144" s="250">
        <f>15*8</f>
        <v>120</v>
      </c>
      <c r="F144" s="27">
        <f>CPU_!F711</f>
        <v>115.39</v>
      </c>
      <c r="G144" s="96">
        <f t="shared" si="2"/>
        <v>13846.8</v>
      </c>
    </row>
    <row r="145" spans="1:7">
      <c r="A145" s="205" t="s">
        <v>454</v>
      </c>
      <c r="B145" s="28" t="str">
        <f>CPU_!B712</f>
        <v>88266</v>
      </c>
      <c r="C145" s="29" t="str">
        <f>CPU_!C712</f>
        <v>MAO DE OBRA - Técnico eletrotécnico, eletrônico e demais especialidades com encargos complementares</v>
      </c>
      <c r="D145" s="28" t="str">
        <f>CPU_!D712</f>
        <v>H</v>
      </c>
      <c r="E145" s="250">
        <v>100</v>
      </c>
      <c r="F145" s="27">
        <f>CPU_!F712</f>
        <v>36.22</v>
      </c>
      <c r="G145" s="96">
        <f t="shared" si="2"/>
        <v>3622</v>
      </c>
    </row>
    <row r="146" spans="1:7" ht="31.5">
      <c r="A146" s="205" t="s">
        <v>455</v>
      </c>
      <c r="B146" s="28" t="str">
        <f>CPU_!B713</f>
        <v>88264</v>
      </c>
      <c r="C146" s="29" t="str">
        <f>CPU_!C713</f>
        <v>MAO DE OBRA - Oficial (Pedreiro, Serralheiro, ladrilheiro, carpinteiro, armador, eletricista, marceneiro, serralheiro, soldador, gesseiro, montador, pintor, impermeabilizador e vidraceiro) com encargos complementares</v>
      </c>
      <c r="D146" s="28" t="str">
        <f>CPU_!D713</f>
        <v>H</v>
      </c>
      <c r="E146" s="250">
        <v>500</v>
      </c>
      <c r="F146" s="27">
        <f>CPU_!F713</f>
        <v>29.88</v>
      </c>
      <c r="G146" s="96">
        <f t="shared" si="2"/>
        <v>14940</v>
      </c>
    </row>
    <row r="147" spans="1:7">
      <c r="A147" s="205" t="s">
        <v>456</v>
      </c>
      <c r="B147" s="28" t="str">
        <f>CPU_!B714</f>
        <v>88252</v>
      </c>
      <c r="C147" s="29" t="str">
        <f>CPU_!C714</f>
        <v>MAO DE OBRA -  Ajudante geral com encargos complementares</v>
      </c>
      <c r="D147" s="28" t="str">
        <f>CPU_!D714</f>
        <v>H</v>
      </c>
      <c r="E147" s="250">
        <v>400</v>
      </c>
      <c r="F147" s="27">
        <f>CPU_!F714</f>
        <v>21.77</v>
      </c>
      <c r="G147" s="96">
        <f t="shared" si="2"/>
        <v>8708</v>
      </c>
    </row>
    <row r="148" spans="1:7">
      <c r="A148" s="205" t="s">
        <v>1538</v>
      </c>
      <c r="B148" s="28">
        <f>CPU_!B715</f>
        <v>88273</v>
      </c>
      <c r="C148" s="29" t="str">
        <f>CPU_!C715</f>
        <v>MAO DE OBRA - Marceneiro especializado em manutenção de móveis - pequenos reparos e ajustes - com encargos complementares</v>
      </c>
      <c r="D148" s="28" t="str">
        <f>CPU_!D715</f>
        <v>H</v>
      </c>
      <c r="E148" s="250">
        <f>80</f>
        <v>80</v>
      </c>
      <c r="F148" s="27">
        <f>CPU_!F715</f>
        <v>27.63</v>
      </c>
      <c r="G148" s="96">
        <f t="shared" si="2"/>
        <v>2210.4</v>
      </c>
    </row>
    <row r="149" spans="1:7">
      <c r="A149" s="237"/>
      <c r="B149" s="238"/>
      <c r="C149" s="138"/>
      <c r="D149" s="138"/>
      <c r="E149" s="251"/>
      <c r="F149" s="116"/>
      <c r="G149" s="117"/>
    </row>
    <row r="150" spans="1:7">
      <c r="A150" s="687" t="s">
        <v>339</v>
      </c>
      <c r="B150" s="687"/>
      <c r="C150" s="687"/>
      <c r="D150" s="687"/>
      <c r="E150" s="687"/>
      <c r="F150" s="687"/>
      <c r="G150" s="258">
        <f>SUM(G4:G148)</f>
        <v>924628.55000000028</v>
      </c>
    </row>
    <row r="151" spans="1:7">
      <c r="A151" s="687" t="s">
        <v>457</v>
      </c>
      <c r="B151" s="687"/>
      <c r="C151" s="687"/>
      <c r="D151" s="687"/>
      <c r="E151" s="687"/>
      <c r="F151" s="687"/>
      <c r="G151" s="293">
        <f>BDI!O37</f>
        <v>0.28359639436619744</v>
      </c>
    </row>
    <row r="152" spans="1:7">
      <c r="A152" s="687" t="s">
        <v>341</v>
      </c>
      <c r="B152" s="687"/>
      <c r="C152" s="687"/>
      <c r="D152" s="687"/>
      <c r="E152" s="687"/>
      <c r="F152" s="687"/>
      <c r="G152" s="258">
        <f>G150+(G150*G151)</f>
        <v>1186849.8729080455</v>
      </c>
    </row>
    <row r="154" spans="1:7">
      <c r="A154" s="684"/>
      <c r="B154" s="685"/>
      <c r="C154" s="685"/>
      <c r="D154" s="685"/>
      <c r="E154" s="685"/>
      <c r="F154" s="685"/>
      <c r="G154" s="686"/>
    </row>
    <row r="155" spans="1:7">
      <c r="A155" s="681" t="s">
        <v>458</v>
      </c>
      <c r="B155" s="682"/>
      <c r="C155" s="682"/>
      <c r="D155" s="682"/>
      <c r="E155" s="682"/>
      <c r="F155" s="682"/>
      <c r="G155" s="683"/>
    </row>
    <row r="156" spans="1:7">
      <c r="A156" s="678" t="s">
        <v>459</v>
      </c>
      <c r="B156" s="679"/>
      <c r="C156" s="679"/>
      <c r="D156" s="679"/>
      <c r="E156" s="679"/>
      <c r="F156" s="679"/>
      <c r="G156" s="680"/>
    </row>
    <row r="158" spans="1:7">
      <c r="B158" s="19"/>
      <c r="C158" s="218"/>
      <c r="D158" s="19"/>
      <c r="E158" s="253"/>
      <c r="F158" s="19"/>
      <c r="G158" s="19"/>
    </row>
    <row r="159" spans="1:7">
      <c r="B159" s="19"/>
      <c r="C159" s="218"/>
      <c r="D159" s="19"/>
      <c r="E159" s="253"/>
      <c r="F159" s="19"/>
      <c r="G159" s="19"/>
    </row>
    <row r="160" spans="1:7">
      <c r="B160" s="19"/>
      <c r="C160" s="218"/>
      <c r="D160" s="19"/>
      <c r="E160" s="253"/>
      <c r="F160" s="19"/>
      <c r="G160" s="19"/>
    </row>
    <row r="161" spans="2:7">
      <c r="B161" s="19"/>
      <c r="C161" s="218"/>
      <c r="D161" s="19"/>
      <c r="E161" s="253"/>
      <c r="F161" s="19"/>
      <c r="G161" s="19"/>
    </row>
    <row r="162" spans="2:7">
      <c r="B162" s="19"/>
      <c r="C162" s="218"/>
      <c r="D162" s="19"/>
      <c r="E162" s="253"/>
      <c r="F162" s="19"/>
      <c r="G162" s="19"/>
    </row>
    <row r="163" spans="2:7">
      <c r="B163" s="19"/>
      <c r="C163" s="218"/>
      <c r="D163" s="19"/>
      <c r="E163" s="253"/>
      <c r="F163" s="19"/>
      <c r="G163" s="19"/>
    </row>
    <row r="164" spans="2:7">
      <c r="B164" s="19"/>
      <c r="C164" s="218"/>
      <c r="D164" s="19"/>
      <c r="E164" s="253"/>
      <c r="F164" s="19"/>
      <c r="G164" s="19"/>
    </row>
    <row r="165" spans="2:7">
      <c r="B165" s="19"/>
      <c r="C165" s="218"/>
      <c r="D165" s="19"/>
      <c r="E165" s="253"/>
      <c r="F165" s="19"/>
      <c r="G165" s="19"/>
    </row>
    <row r="166" spans="2:7">
      <c r="B166" s="19"/>
      <c r="C166" s="218"/>
      <c r="D166" s="19"/>
      <c r="E166" s="253"/>
      <c r="F166" s="19"/>
      <c r="G166" s="19"/>
    </row>
    <row r="167" spans="2:7">
      <c r="B167" s="19"/>
      <c r="C167" s="218"/>
      <c r="D167" s="19"/>
      <c r="E167" s="253"/>
      <c r="F167" s="19"/>
      <c r="G167" s="19"/>
    </row>
    <row r="168" spans="2:7">
      <c r="B168" s="19"/>
      <c r="C168" s="218"/>
      <c r="D168" s="19"/>
      <c r="E168" s="253"/>
      <c r="F168" s="19"/>
      <c r="G168" s="19"/>
    </row>
    <row r="169" spans="2:7">
      <c r="B169" s="19"/>
      <c r="C169" s="218"/>
      <c r="D169" s="19"/>
      <c r="E169" s="253"/>
      <c r="F169" s="19"/>
      <c r="G169" s="19"/>
    </row>
    <row r="170" spans="2:7">
      <c r="B170" s="19"/>
      <c r="C170" s="218"/>
      <c r="D170" s="19"/>
      <c r="E170" s="253"/>
      <c r="F170" s="19"/>
      <c r="G170" s="19"/>
    </row>
    <row r="171" spans="2:7">
      <c r="B171" s="19"/>
      <c r="C171" s="218"/>
      <c r="D171" s="19"/>
      <c r="E171" s="253"/>
      <c r="F171" s="19"/>
      <c r="G171" s="19"/>
    </row>
    <row r="172" spans="2:7">
      <c r="B172" s="19"/>
      <c r="C172" s="218"/>
      <c r="D172" s="19"/>
      <c r="E172" s="253"/>
      <c r="F172" s="19"/>
      <c r="G172" s="19"/>
    </row>
    <row r="173" spans="2:7">
      <c r="B173" s="19"/>
      <c r="C173" s="218"/>
      <c r="D173" s="19"/>
      <c r="E173" s="253"/>
      <c r="F173" s="19"/>
      <c r="G173" s="19"/>
    </row>
    <row r="174" spans="2:7">
      <c r="B174" s="19"/>
      <c r="C174" s="218"/>
      <c r="D174" s="19"/>
      <c r="E174" s="253"/>
      <c r="F174" s="19"/>
      <c r="G174" s="19"/>
    </row>
    <row r="175" spans="2:7">
      <c r="B175" s="19"/>
      <c r="C175" s="218"/>
      <c r="D175" s="19"/>
      <c r="E175" s="253"/>
      <c r="F175" s="19"/>
      <c r="G175" s="19"/>
    </row>
    <row r="176" spans="2:7">
      <c r="B176" s="19"/>
      <c r="C176" s="218"/>
      <c r="D176" s="19"/>
      <c r="E176" s="253"/>
      <c r="F176" s="19"/>
      <c r="G176" s="19"/>
    </row>
    <row r="177" spans="2:7">
      <c r="B177" s="19"/>
      <c r="C177" s="218"/>
      <c r="D177" s="19"/>
      <c r="E177" s="253"/>
      <c r="F177" s="19"/>
      <c r="G177" s="19"/>
    </row>
  </sheetData>
  <mergeCells count="8">
    <mergeCell ref="A1:G1"/>
    <mergeCell ref="A2:G2"/>
    <mergeCell ref="A156:G156"/>
    <mergeCell ref="A155:G155"/>
    <mergeCell ref="A154:G154"/>
    <mergeCell ref="A150:F150"/>
    <mergeCell ref="A151:F151"/>
    <mergeCell ref="A152:F152"/>
  </mergeCells>
  <phoneticPr fontId="15" type="noConversion"/>
  <conditionalFormatting sqref="C149">
    <cfRule type="expression" dxfId="267" priority="1" stopIfTrue="1">
      <formula>AND(#REF!&lt;&gt;"COMPOSICAO",#REF!&lt;&gt;"INSUMO",#REF!&lt;&gt;"")</formula>
    </cfRule>
    <cfRule type="expression" dxfId="266" priority="2" stopIfTrue="1">
      <formula>AND(OR(#REF!="COMPOSICAO",#REF!="INSUMO",#REF!&lt;&gt;""),#REF!&lt;&gt;"")</formula>
    </cfRule>
  </conditionalFormatting>
  <conditionalFormatting sqref="E147:E148 D149:E149">
    <cfRule type="expression" dxfId="265" priority="19" stopIfTrue="1">
      <formula>AND(#REF!&lt;&gt;"COMPOSICAO",#REF!&lt;&gt;"INSUMO",#REF!&lt;&gt;"")</formula>
    </cfRule>
    <cfRule type="expression" dxfId="264" priority="20" stopIfTrue="1">
      <formula>AND(OR(#REF!="COMPOSICAO",#REF!="INSUMO",#REF!&lt;&gt;""),#REF!&lt;&gt;"")</formula>
    </cfRule>
  </conditionalFormatting>
  <conditionalFormatting sqref="E62:F67">
    <cfRule type="expression" dxfId="263" priority="513" stopIfTrue="1">
      <formula>AND(#REF!&lt;&gt;"COMPOSICAO",#REF!&lt;&gt;"INSUMO",#REF!&lt;&gt;"")</formula>
    </cfRule>
    <cfRule type="expression" dxfId="262" priority="514" stopIfTrue="1">
      <formula>AND(OR(#REF!="COMPOSICAO",#REF!="INSUMO",#REF!&lt;&gt;""),#REF!&lt;&gt;"")</formula>
    </cfRule>
  </conditionalFormatting>
  <conditionalFormatting sqref="F4:F37 E38:F50 F51:F61 F74:F78">
    <cfRule type="expression" dxfId="261" priority="9" stopIfTrue="1">
      <formula>AND(#REF!&lt;&gt;"COMPOSICAO",#REF!&lt;&gt;"INSUMO",#REF!&lt;&gt;"")</formula>
    </cfRule>
    <cfRule type="expression" dxfId="260" priority="10" stopIfTrue="1">
      <formula>AND(OR(#REF!="COMPOSICAO",#REF!="INSUMO",#REF!&lt;&gt;""),#REF!&lt;&gt;"")</formula>
    </cfRule>
  </conditionalFormatting>
  <conditionalFormatting sqref="F68:F72">
    <cfRule type="expression" dxfId="259" priority="77" stopIfTrue="1">
      <formula>AND(#REF!&lt;&gt;"COMPOSICAO",#REF!&lt;&gt;"INSUMO",#REF!&lt;&gt;"")</formula>
    </cfRule>
    <cfRule type="expression" dxfId="258" priority="78" stopIfTrue="1">
      <formula>AND(OR(#REF!="COMPOSICAO",#REF!="INSUMO",#REF!&lt;&gt;""),#REF!&lt;&gt;"")</formula>
    </cfRule>
  </conditionalFormatting>
  <conditionalFormatting sqref="F80:F81">
    <cfRule type="expression" dxfId="257" priority="51" stopIfTrue="1">
      <formula>AND(#REF!&lt;&gt;"COMPOSICAO",#REF!&lt;&gt;"INSUMO",#REF!&lt;&gt;"")</formula>
    </cfRule>
    <cfRule type="expression" dxfId="256" priority="52" stopIfTrue="1">
      <formula>AND(OR(#REF!="COMPOSICAO",#REF!="INSUMO",#REF!&lt;&gt;""),#REF!&lt;&gt;"")</formula>
    </cfRule>
  </conditionalFormatting>
  <pageMargins left="0.511811024" right="0.511811024" top="0.78740157499999996" bottom="0.78740157499999996" header="0.31496062000000002" footer="0.31496062000000002"/>
  <pageSetup paperSize="9" scale="6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159E-68D6-4534-93D5-D6C34F5A9D35}">
  <sheetPr>
    <pageSetUpPr fitToPage="1"/>
  </sheetPr>
  <dimension ref="A1:K716"/>
  <sheetViews>
    <sheetView topLeftCell="A94" zoomScale="115" zoomScaleNormal="115" workbookViewId="0">
      <selection activeCell="A106" sqref="A106:XFD109"/>
    </sheetView>
  </sheetViews>
  <sheetFormatPr defaultRowHeight="15.75"/>
  <cols>
    <col min="1" max="1" width="16.42578125" style="78" customWidth="1"/>
    <col min="2" max="2" width="19.7109375" style="78" customWidth="1"/>
    <col min="3" max="3" width="85.42578125" style="78" customWidth="1"/>
    <col min="4" max="5" width="17.5703125" style="78" customWidth="1"/>
    <col min="6" max="6" width="15.85546875" style="233" customWidth="1"/>
    <col min="7" max="7" width="5.7109375" style="78" customWidth="1"/>
    <col min="8" max="8" width="11.5703125" style="78" customWidth="1"/>
    <col min="9" max="9" width="12.42578125" style="78" customWidth="1"/>
    <col min="10" max="10" width="12.5703125" style="78" customWidth="1"/>
    <col min="11" max="11" width="11.7109375" style="78" customWidth="1"/>
    <col min="12" max="218" width="9.140625" style="78"/>
    <col min="219" max="219" width="15.28515625" style="78" customWidth="1"/>
    <col min="220" max="220" width="10.140625" style="78" customWidth="1"/>
    <col min="221" max="221" width="7.28515625" style="78" customWidth="1"/>
    <col min="222" max="222" width="68.7109375" style="78" customWidth="1"/>
    <col min="223" max="223" width="15" style="78" customWidth="1"/>
    <col min="224" max="224" width="14.140625" style="78" bestFit="1" customWidth="1"/>
    <col min="225" max="225" width="16.5703125" style="78" customWidth="1"/>
    <col min="226" max="227" width="9.140625" style="78"/>
    <col min="228" max="228" width="8.7109375" style="78" customWidth="1"/>
    <col min="229" max="474" width="9.140625" style="78"/>
    <col min="475" max="475" width="15.28515625" style="78" customWidth="1"/>
    <col min="476" max="476" width="10.140625" style="78" customWidth="1"/>
    <col min="477" max="477" width="7.28515625" style="78" customWidth="1"/>
    <col min="478" max="478" width="68.7109375" style="78" customWidth="1"/>
    <col min="479" max="479" width="15" style="78" customWidth="1"/>
    <col min="480" max="480" width="14.140625" style="78" bestFit="1" customWidth="1"/>
    <col min="481" max="481" width="16.5703125" style="78" customWidth="1"/>
    <col min="482" max="483" width="9.140625" style="78"/>
    <col min="484" max="484" width="8.7109375" style="78" customWidth="1"/>
    <col min="485" max="730" width="9.140625" style="78"/>
    <col min="731" max="731" width="15.28515625" style="78" customWidth="1"/>
    <col min="732" max="732" width="10.140625" style="78" customWidth="1"/>
    <col min="733" max="733" width="7.28515625" style="78" customWidth="1"/>
    <col min="734" max="734" width="68.7109375" style="78" customWidth="1"/>
    <col min="735" max="735" width="15" style="78" customWidth="1"/>
    <col min="736" max="736" width="14.140625" style="78" bestFit="1" customWidth="1"/>
    <col min="737" max="737" width="16.5703125" style="78" customWidth="1"/>
    <col min="738" max="739" width="9.140625" style="78"/>
    <col min="740" max="740" width="8.7109375" style="78" customWidth="1"/>
    <col min="741" max="986" width="9.140625" style="78"/>
    <col min="987" max="987" width="15.28515625" style="78" customWidth="1"/>
    <col min="988" max="988" width="10.140625" style="78" customWidth="1"/>
    <col min="989" max="989" width="7.28515625" style="78" customWidth="1"/>
    <col min="990" max="990" width="68.7109375" style="78" customWidth="1"/>
    <col min="991" max="991" width="15" style="78" customWidth="1"/>
    <col min="992" max="992" width="14.140625" style="78" bestFit="1" customWidth="1"/>
    <col min="993" max="993" width="16.5703125" style="78" customWidth="1"/>
    <col min="994" max="995" width="9.140625" style="78"/>
    <col min="996" max="996" width="8.7109375" style="78" customWidth="1"/>
    <col min="997" max="1242" width="9.140625" style="78"/>
    <col min="1243" max="1243" width="15.28515625" style="78" customWidth="1"/>
    <col min="1244" max="1244" width="10.140625" style="78" customWidth="1"/>
    <col min="1245" max="1245" width="7.28515625" style="78" customWidth="1"/>
    <col min="1246" max="1246" width="68.7109375" style="78" customWidth="1"/>
    <col min="1247" max="1247" width="15" style="78" customWidth="1"/>
    <col min="1248" max="1248" width="14.140625" style="78" bestFit="1" customWidth="1"/>
    <col min="1249" max="1249" width="16.5703125" style="78" customWidth="1"/>
    <col min="1250" max="1251" width="9.140625" style="78"/>
    <col min="1252" max="1252" width="8.7109375" style="78" customWidth="1"/>
    <col min="1253" max="1498" width="9.140625" style="78"/>
    <col min="1499" max="1499" width="15.28515625" style="78" customWidth="1"/>
    <col min="1500" max="1500" width="10.140625" style="78" customWidth="1"/>
    <col min="1501" max="1501" width="7.28515625" style="78" customWidth="1"/>
    <col min="1502" max="1502" width="68.7109375" style="78" customWidth="1"/>
    <col min="1503" max="1503" width="15" style="78" customWidth="1"/>
    <col min="1504" max="1504" width="14.140625" style="78" bestFit="1" customWidth="1"/>
    <col min="1505" max="1505" width="16.5703125" style="78" customWidth="1"/>
    <col min="1506" max="1507" width="9.140625" style="78"/>
    <col min="1508" max="1508" width="8.7109375" style="78" customWidth="1"/>
    <col min="1509" max="1754" width="9.140625" style="78"/>
    <col min="1755" max="1755" width="15.28515625" style="78" customWidth="1"/>
    <col min="1756" max="1756" width="10.140625" style="78" customWidth="1"/>
    <col min="1757" max="1757" width="7.28515625" style="78" customWidth="1"/>
    <col min="1758" max="1758" width="68.7109375" style="78" customWidth="1"/>
    <col min="1759" max="1759" width="15" style="78" customWidth="1"/>
    <col min="1760" max="1760" width="14.140625" style="78" bestFit="1" customWidth="1"/>
    <col min="1761" max="1761" width="16.5703125" style="78" customWidth="1"/>
    <col min="1762" max="1763" width="9.140625" style="78"/>
    <col min="1764" max="1764" width="8.7109375" style="78" customWidth="1"/>
    <col min="1765" max="2010" width="9.140625" style="78"/>
    <col min="2011" max="2011" width="15.28515625" style="78" customWidth="1"/>
    <col min="2012" max="2012" width="10.140625" style="78" customWidth="1"/>
    <col min="2013" max="2013" width="7.28515625" style="78" customWidth="1"/>
    <col min="2014" max="2014" width="68.7109375" style="78" customWidth="1"/>
    <col min="2015" max="2015" width="15" style="78" customWidth="1"/>
    <col min="2016" max="2016" width="14.140625" style="78" bestFit="1" customWidth="1"/>
    <col min="2017" max="2017" width="16.5703125" style="78" customWidth="1"/>
    <col min="2018" max="2019" width="9.140625" style="78"/>
    <col min="2020" max="2020" width="8.7109375" style="78" customWidth="1"/>
    <col min="2021" max="2266" width="9.140625" style="78"/>
    <col min="2267" max="2267" width="15.28515625" style="78" customWidth="1"/>
    <col min="2268" max="2268" width="10.140625" style="78" customWidth="1"/>
    <col min="2269" max="2269" width="7.28515625" style="78" customWidth="1"/>
    <col min="2270" max="2270" width="68.7109375" style="78" customWidth="1"/>
    <col min="2271" max="2271" width="15" style="78" customWidth="1"/>
    <col min="2272" max="2272" width="14.140625" style="78" bestFit="1" customWidth="1"/>
    <col min="2273" max="2273" width="16.5703125" style="78" customWidth="1"/>
    <col min="2274" max="2275" width="9.140625" style="78"/>
    <col min="2276" max="2276" width="8.7109375" style="78" customWidth="1"/>
    <col min="2277" max="2522" width="9.140625" style="78"/>
    <col min="2523" max="2523" width="15.28515625" style="78" customWidth="1"/>
    <col min="2524" max="2524" width="10.140625" style="78" customWidth="1"/>
    <col min="2525" max="2525" width="7.28515625" style="78" customWidth="1"/>
    <col min="2526" max="2526" width="68.7109375" style="78" customWidth="1"/>
    <col min="2527" max="2527" width="15" style="78" customWidth="1"/>
    <col min="2528" max="2528" width="14.140625" style="78" bestFit="1" customWidth="1"/>
    <col min="2529" max="2529" width="16.5703125" style="78" customWidth="1"/>
    <col min="2530" max="2531" width="9.140625" style="78"/>
    <col min="2532" max="2532" width="8.7109375" style="78" customWidth="1"/>
    <col min="2533" max="2778" width="9.140625" style="78"/>
    <col min="2779" max="2779" width="15.28515625" style="78" customWidth="1"/>
    <col min="2780" max="2780" width="10.140625" style="78" customWidth="1"/>
    <col min="2781" max="2781" width="7.28515625" style="78" customWidth="1"/>
    <col min="2782" max="2782" width="68.7109375" style="78" customWidth="1"/>
    <col min="2783" max="2783" width="15" style="78" customWidth="1"/>
    <col min="2784" max="2784" width="14.140625" style="78" bestFit="1" customWidth="1"/>
    <col min="2785" max="2785" width="16.5703125" style="78" customWidth="1"/>
    <col min="2786" max="2787" width="9.140625" style="78"/>
    <col min="2788" max="2788" width="8.7109375" style="78" customWidth="1"/>
    <col min="2789" max="3034" width="9.140625" style="78"/>
    <col min="3035" max="3035" width="15.28515625" style="78" customWidth="1"/>
    <col min="3036" max="3036" width="10.140625" style="78" customWidth="1"/>
    <col min="3037" max="3037" width="7.28515625" style="78" customWidth="1"/>
    <col min="3038" max="3038" width="68.7109375" style="78" customWidth="1"/>
    <col min="3039" max="3039" width="15" style="78" customWidth="1"/>
    <col min="3040" max="3040" width="14.140625" style="78" bestFit="1" customWidth="1"/>
    <col min="3041" max="3041" width="16.5703125" style="78" customWidth="1"/>
    <col min="3042" max="3043" width="9.140625" style="78"/>
    <col min="3044" max="3044" width="8.7109375" style="78" customWidth="1"/>
    <col min="3045" max="3290" width="9.140625" style="78"/>
    <col min="3291" max="3291" width="15.28515625" style="78" customWidth="1"/>
    <col min="3292" max="3292" width="10.140625" style="78" customWidth="1"/>
    <col min="3293" max="3293" width="7.28515625" style="78" customWidth="1"/>
    <col min="3294" max="3294" width="68.7109375" style="78" customWidth="1"/>
    <col min="3295" max="3295" width="15" style="78" customWidth="1"/>
    <col min="3296" max="3296" width="14.140625" style="78" bestFit="1" customWidth="1"/>
    <col min="3297" max="3297" width="16.5703125" style="78" customWidth="1"/>
    <col min="3298" max="3299" width="9.140625" style="78"/>
    <col min="3300" max="3300" width="8.7109375" style="78" customWidth="1"/>
    <col min="3301" max="3546" width="9.140625" style="78"/>
    <col min="3547" max="3547" width="15.28515625" style="78" customWidth="1"/>
    <col min="3548" max="3548" width="10.140625" style="78" customWidth="1"/>
    <col min="3549" max="3549" width="7.28515625" style="78" customWidth="1"/>
    <col min="3550" max="3550" width="68.7109375" style="78" customWidth="1"/>
    <col min="3551" max="3551" width="15" style="78" customWidth="1"/>
    <col min="3552" max="3552" width="14.140625" style="78" bestFit="1" customWidth="1"/>
    <col min="3553" max="3553" width="16.5703125" style="78" customWidth="1"/>
    <col min="3554" max="3555" width="9.140625" style="78"/>
    <col min="3556" max="3556" width="8.7109375" style="78" customWidth="1"/>
    <col min="3557" max="3802" width="9.140625" style="78"/>
    <col min="3803" max="3803" width="15.28515625" style="78" customWidth="1"/>
    <col min="3804" max="3804" width="10.140625" style="78" customWidth="1"/>
    <col min="3805" max="3805" width="7.28515625" style="78" customWidth="1"/>
    <col min="3806" max="3806" width="68.7109375" style="78" customWidth="1"/>
    <col min="3807" max="3807" width="15" style="78" customWidth="1"/>
    <col min="3808" max="3808" width="14.140625" style="78" bestFit="1" customWidth="1"/>
    <col min="3809" max="3809" width="16.5703125" style="78" customWidth="1"/>
    <col min="3810" max="3811" width="9.140625" style="78"/>
    <col min="3812" max="3812" width="8.7109375" style="78" customWidth="1"/>
    <col min="3813" max="4058" width="9.140625" style="78"/>
    <col min="4059" max="4059" width="15.28515625" style="78" customWidth="1"/>
    <col min="4060" max="4060" width="10.140625" style="78" customWidth="1"/>
    <col min="4061" max="4061" width="7.28515625" style="78" customWidth="1"/>
    <col min="4062" max="4062" width="68.7109375" style="78" customWidth="1"/>
    <col min="4063" max="4063" width="15" style="78" customWidth="1"/>
    <col min="4064" max="4064" width="14.140625" style="78" bestFit="1" customWidth="1"/>
    <col min="4065" max="4065" width="16.5703125" style="78" customWidth="1"/>
    <col min="4066" max="4067" width="9.140625" style="78"/>
    <col min="4068" max="4068" width="8.7109375" style="78" customWidth="1"/>
    <col min="4069" max="4314" width="9.140625" style="78"/>
    <col min="4315" max="4315" width="15.28515625" style="78" customWidth="1"/>
    <col min="4316" max="4316" width="10.140625" style="78" customWidth="1"/>
    <col min="4317" max="4317" width="7.28515625" style="78" customWidth="1"/>
    <col min="4318" max="4318" width="68.7109375" style="78" customWidth="1"/>
    <col min="4319" max="4319" width="15" style="78" customWidth="1"/>
    <col min="4320" max="4320" width="14.140625" style="78" bestFit="1" customWidth="1"/>
    <col min="4321" max="4321" width="16.5703125" style="78" customWidth="1"/>
    <col min="4322" max="4323" width="9.140625" style="78"/>
    <col min="4324" max="4324" width="8.7109375" style="78" customWidth="1"/>
    <col min="4325" max="4570" width="9.140625" style="78"/>
    <col min="4571" max="4571" width="15.28515625" style="78" customWidth="1"/>
    <col min="4572" max="4572" width="10.140625" style="78" customWidth="1"/>
    <col min="4573" max="4573" width="7.28515625" style="78" customWidth="1"/>
    <col min="4574" max="4574" width="68.7109375" style="78" customWidth="1"/>
    <col min="4575" max="4575" width="15" style="78" customWidth="1"/>
    <col min="4576" max="4576" width="14.140625" style="78" bestFit="1" customWidth="1"/>
    <col min="4577" max="4577" width="16.5703125" style="78" customWidth="1"/>
    <col min="4578" max="4579" width="9.140625" style="78"/>
    <col min="4580" max="4580" width="8.7109375" style="78" customWidth="1"/>
    <col min="4581" max="4826" width="9.140625" style="78"/>
    <col min="4827" max="4827" width="15.28515625" style="78" customWidth="1"/>
    <col min="4828" max="4828" width="10.140625" style="78" customWidth="1"/>
    <col min="4829" max="4829" width="7.28515625" style="78" customWidth="1"/>
    <col min="4830" max="4830" width="68.7109375" style="78" customWidth="1"/>
    <col min="4831" max="4831" width="15" style="78" customWidth="1"/>
    <col min="4832" max="4832" width="14.140625" style="78" bestFit="1" customWidth="1"/>
    <col min="4833" max="4833" width="16.5703125" style="78" customWidth="1"/>
    <col min="4834" max="4835" width="9.140625" style="78"/>
    <col min="4836" max="4836" width="8.7109375" style="78" customWidth="1"/>
    <col min="4837" max="5082" width="9.140625" style="78"/>
    <col min="5083" max="5083" width="15.28515625" style="78" customWidth="1"/>
    <col min="5084" max="5084" width="10.140625" style="78" customWidth="1"/>
    <col min="5085" max="5085" width="7.28515625" style="78" customWidth="1"/>
    <col min="5086" max="5086" width="68.7109375" style="78" customWidth="1"/>
    <col min="5087" max="5087" width="15" style="78" customWidth="1"/>
    <col min="5088" max="5088" width="14.140625" style="78" bestFit="1" customWidth="1"/>
    <col min="5089" max="5089" width="16.5703125" style="78" customWidth="1"/>
    <col min="5090" max="5091" width="9.140625" style="78"/>
    <col min="5092" max="5092" width="8.7109375" style="78" customWidth="1"/>
    <col min="5093" max="5338" width="9.140625" style="78"/>
    <col min="5339" max="5339" width="15.28515625" style="78" customWidth="1"/>
    <col min="5340" max="5340" width="10.140625" style="78" customWidth="1"/>
    <col min="5341" max="5341" width="7.28515625" style="78" customWidth="1"/>
    <col min="5342" max="5342" width="68.7109375" style="78" customWidth="1"/>
    <col min="5343" max="5343" width="15" style="78" customWidth="1"/>
    <col min="5344" max="5344" width="14.140625" style="78" bestFit="1" customWidth="1"/>
    <col min="5345" max="5345" width="16.5703125" style="78" customWidth="1"/>
    <col min="5346" max="5347" width="9.140625" style="78"/>
    <col min="5348" max="5348" width="8.7109375" style="78" customWidth="1"/>
    <col min="5349" max="5594" width="9.140625" style="78"/>
    <col min="5595" max="5595" width="15.28515625" style="78" customWidth="1"/>
    <col min="5596" max="5596" width="10.140625" style="78" customWidth="1"/>
    <col min="5597" max="5597" width="7.28515625" style="78" customWidth="1"/>
    <col min="5598" max="5598" width="68.7109375" style="78" customWidth="1"/>
    <col min="5599" max="5599" width="15" style="78" customWidth="1"/>
    <col min="5600" max="5600" width="14.140625" style="78" bestFit="1" customWidth="1"/>
    <col min="5601" max="5601" width="16.5703125" style="78" customWidth="1"/>
    <col min="5602" max="5603" width="9.140625" style="78"/>
    <col min="5604" max="5604" width="8.7109375" style="78" customWidth="1"/>
    <col min="5605" max="5850" width="9.140625" style="78"/>
    <col min="5851" max="5851" width="15.28515625" style="78" customWidth="1"/>
    <col min="5852" max="5852" width="10.140625" style="78" customWidth="1"/>
    <col min="5853" max="5853" width="7.28515625" style="78" customWidth="1"/>
    <col min="5854" max="5854" width="68.7109375" style="78" customWidth="1"/>
    <col min="5855" max="5855" width="15" style="78" customWidth="1"/>
    <col min="5856" max="5856" width="14.140625" style="78" bestFit="1" customWidth="1"/>
    <col min="5857" max="5857" width="16.5703125" style="78" customWidth="1"/>
    <col min="5858" max="5859" width="9.140625" style="78"/>
    <col min="5860" max="5860" width="8.7109375" style="78" customWidth="1"/>
    <col min="5861" max="6106" width="9.140625" style="78"/>
    <col min="6107" max="6107" width="15.28515625" style="78" customWidth="1"/>
    <col min="6108" max="6108" width="10.140625" style="78" customWidth="1"/>
    <col min="6109" max="6109" width="7.28515625" style="78" customWidth="1"/>
    <col min="6110" max="6110" width="68.7109375" style="78" customWidth="1"/>
    <col min="6111" max="6111" width="15" style="78" customWidth="1"/>
    <col min="6112" max="6112" width="14.140625" style="78" bestFit="1" customWidth="1"/>
    <col min="6113" max="6113" width="16.5703125" style="78" customWidth="1"/>
    <col min="6114" max="6115" width="9.140625" style="78"/>
    <col min="6116" max="6116" width="8.7109375" style="78" customWidth="1"/>
    <col min="6117" max="6362" width="9.140625" style="78"/>
    <col min="6363" max="6363" width="15.28515625" style="78" customWidth="1"/>
    <col min="6364" max="6364" width="10.140625" style="78" customWidth="1"/>
    <col min="6365" max="6365" width="7.28515625" style="78" customWidth="1"/>
    <col min="6366" max="6366" width="68.7109375" style="78" customWidth="1"/>
    <col min="6367" max="6367" width="15" style="78" customWidth="1"/>
    <col min="6368" max="6368" width="14.140625" style="78" bestFit="1" customWidth="1"/>
    <col min="6369" max="6369" width="16.5703125" style="78" customWidth="1"/>
    <col min="6370" max="6371" width="9.140625" style="78"/>
    <col min="6372" max="6372" width="8.7109375" style="78" customWidth="1"/>
    <col min="6373" max="6618" width="9.140625" style="78"/>
    <col min="6619" max="6619" width="15.28515625" style="78" customWidth="1"/>
    <col min="6620" max="6620" width="10.140625" style="78" customWidth="1"/>
    <col min="6621" max="6621" width="7.28515625" style="78" customWidth="1"/>
    <col min="6622" max="6622" width="68.7109375" style="78" customWidth="1"/>
    <col min="6623" max="6623" width="15" style="78" customWidth="1"/>
    <col min="6624" max="6624" width="14.140625" style="78" bestFit="1" customWidth="1"/>
    <col min="6625" max="6625" width="16.5703125" style="78" customWidth="1"/>
    <col min="6626" max="6627" width="9.140625" style="78"/>
    <col min="6628" max="6628" width="8.7109375" style="78" customWidth="1"/>
    <col min="6629" max="6874" width="9.140625" style="78"/>
    <col min="6875" max="6875" width="15.28515625" style="78" customWidth="1"/>
    <col min="6876" max="6876" width="10.140625" style="78" customWidth="1"/>
    <col min="6877" max="6877" width="7.28515625" style="78" customWidth="1"/>
    <col min="6878" max="6878" width="68.7109375" style="78" customWidth="1"/>
    <col min="6879" max="6879" width="15" style="78" customWidth="1"/>
    <col min="6880" max="6880" width="14.140625" style="78" bestFit="1" customWidth="1"/>
    <col min="6881" max="6881" width="16.5703125" style="78" customWidth="1"/>
    <col min="6882" max="6883" width="9.140625" style="78"/>
    <col min="6884" max="6884" width="8.7109375" style="78" customWidth="1"/>
    <col min="6885" max="7130" width="9.140625" style="78"/>
    <col min="7131" max="7131" width="15.28515625" style="78" customWidth="1"/>
    <col min="7132" max="7132" width="10.140625" style="78" customWidth="1"/>
    <col min="7133" max="7133" width="7.28515625" style="78" customWidth="1"/>
    <col min="7134" max="7134" width="68.7109375" style="78" customWidth="1"/>
    <col min="7135" max="7135" width="15" style="78" customWidth="1"/>
    <col min="7136" max="7136" width="14.140625" style="78" bestFit="1" customWidth="1"/>
    <col min="7137" max="7137" width="16.5703125" style="78" customWidth="1"/>
    <col min="7138" max="7139" width="9.140625" style="78"/>
    <col min="7140" max="7140" width="8.7109375" style="78" customWidth="1"/>
    <col min="7141" max="7386" width="9.140625" style="78"/>
    <col min="7387" max="7387" width="15.28515625" style="78" customWidth="1"/>
    <col min="7388" max="7388" width="10.140625" style="78" customWidth="1"/>
    <col min="7389" max="7389" width="7.28515625" style="78" customWidth="1"/>
    <col min="7390" max="7390" width="68.7109375" style="78" customWidth="1"/>
    <col min="7391" max="7391" width="15" style="78" customWidth="1"/>
    <col min="7392" max="7392" width="14.140625" style="78" bestFit="1" customWidth="1"/>
    <col min="7393" max="7393" width="16.5703125" style="78" customWidth="1"/>
    <col min="7394" max="7395" width="9.140625" style="78"/>
    <col min="7396" max="7396" width="8.7109375" style="78" customWidth="1"/>
    <col min="7397" max="7642" width="9.140625" style="78"/>
    <col min="7643" max="7643" width="15.28515625" style="78" customWidth="1"/>
    <col min="7644" max="7644" width="10.140625" style="78" customWidth="1"/>
    <col min="7645" max="7645" width="7.28515625" style="78" customWidth="1"/>
    <col min="7646" max="7646" width="68.7109375" style="78" customWidth="1"/>
    <col min="7647" max="7647" width="15" style="78" customWidth="1"/>
    <col min="7648" max="7648" width="14.140625" style="78" bestFit="1" customWidth="1"/>
    <col min="7649" max="7649" width="16.5703125" style="78" customWidth="1"/>
    <col min="7650" max="7651" width="9.140625" style="78"/>
    <col min="7652" max="7652" width="8.7109375" style="78" customWidth="1"/>
    <col min="7653" max="7898" width="9.140625" style="78"/>
    <col min="7899" max="7899" width="15.28515625" style="78" customWidth="1"/>
    <col min="7900" max="7900" width="10.140625" style="78" customWidth="1"/>
    <col min="7901" max="7901" width="7.28515625" style="78" customWidth="1"/>
    <col min="7902" max="7902" width="68.7109375" style="78" customWidth="1"/>
    <col min="7903" max="7903" width="15" style="78" customWidth="1"/>
    <col min="7904" max="7904" width="14.140625" style="78" bestFit="1" customWidth="1"/>
    <col min="7905" max="7905" width="16.5703125" style="78" customWidth="1"/>
    <col min="7906" max="7907" width="9.140625" style="78"/>
    <col min="7908" max="7908" width="8.7109375" style="78" customWidth="1"/>
    <col min="7909" max="8154" width="9.140625" style="78"/>
    <col min="8155" max="8155" width="15.28515625" style="78" customWidth="1"/>
    <col min="8156" max="8156" width="10.140625" style="78" customWidth="1"/>
    <col min="8157" max="8157" width="7.28515625" style="78" customWidth="1"/>
    <col min="8158" max="8158" width="68.7109375" style="78" customWidth="1"/>
    <col min="8159" max="8159" width="15" style="78" customWidth="1"/>
    <col min="8160" max="8160" width="14.140625" style="78" bestFit="1" customWidth="1"/>
    <col min="8161" max="8161" width="16.5703125" style="78" customWidth="1"/>
    <col min="8162" max="8163" width="9.140625" style="78"/>
    <col min="8164" max="8164" width="8.7109375" style="78" customWidth="1"/>
    <col min="8165" max="8410" width="9.140625" style="78"/>
    <col min="8411" max="8411" width="15.28515625" style="78" customWidth="1"/>
    <col min="8412" max="8412" width="10.140625" style="78" customWidth="1"/>
    <col min="8413" max="8413" width="7.28515625" style="78" customWidth="1"/>
    <col min="8414" max="8414" width="68.7109375" style="78" customWidth="1"/>
    <col min="8415" max="8415" width="15" style="78" customWidth="1"/>
    <col min="8416" max="8416" width="14.140625" style="78" bestFit="1" customWidth="1"/>
    <col min="8417" max="8417" width="16.5703125" style="78" customWidth="1"/>
    <col min="8418" max="8419" width="9.140625" style="78"/>
    <col min="8420" max="8420" width="8.7109375" style="78" customWidth="1"/>
    <col min="8421" max="8666" width="9.140625" style="78"/>
    <col min="8667" max="8667" width="15.28515625" style="78" customWidth="1"/>
    <col min="8668" max="8668" width="10.140625" style="78" customWidth="1"/>
    <col min="8669" max="8669" width="7.28515625" style="78" customWidth="1"/>
    <col min="8670" max="8670" width="68.7109375" style="78" customWidth="1"/>
    <col min="8671" max="8671" width="15" style="78" customWidth="1"/>
    <col min="8672" max="8672" width="14.140625" style="78" bestFit="1" customWidth="1"/>
    <col min="8673" max="8673" width="16.5703125" style="78" customWidth="1"/>
    <col min="8674" max="8675" width="9.140625" style="78"/>
    <col min="8676" max="8676" width="8.7109375" style="78" customWidth="1"/>
    <col min="8677" max="8922" width="9.140625" style="78"/>
    <col min="8923" max="8923" width="15.28515625" style="78" customWidth="1"/>
    <col min="8924" max="8924" width="10.140625" style="78" customWidth="1"/>
    <col min="8925" max="8925" width="7.28515625" style="78" customWidth="1"/>
    <col min="8926" max="8926" width="68.7109375" style="78" customWidth="1"/>
    <col min="8927" max="8927" width="15" style="78" customWidth="1"/>
    <col min="8928" max="8928" width="14.140625" style="78" bestFit="1" customWidth="1"/>
    <col min="8929" max="8929" width="16.5703125" style="78" customWidth="1"/>
    <col min="8930" max="8931" width="9.140625" style="78"/>
    <col min="8932" max="8932" width="8.7109375" style="78" customWidth="1"/>
    <col min="8933" max="9178" width="9.140625" style="78"/>
    <col min="9179" max="9179" width="15.28515625" style="78" customWidth="1"/>
    <col min="9180" max="9180" width="10.140625" style="78" customWidth="1"/>
    <col min="9181" max="9181" width="7.28515625" style="78" customWidth="1"/>
    <col min="9182" max="9182" width="68.7109375" style="78" customWidth="1"/>
    <col min="9183" max="9183" width="15" style="78" customWidth="1"/>
    <col min="9184" max="9184" width="14.140625" style="78" bestFit="1" customWidth="1"/>
    <col min="9185" max="9185" width="16.5703125" style="78" customWidth="1"/>
    <col min="9186" max="9187" width="9.140625" style="78"/>
    <col min="9188" max="9188" width="8.7109375" style="78" customWidth="1"/>
    <col min="9189" max="9434" width="9.140625" style="78"/>
    <col min="9435" max="9435" width="15.28515625" style="78" customWidth="1"/>
    <col min="9436" max="9436" width="10.140625" style="78" customWidth="1"/>
    <col min="9437" max="9437" width="7.28515625" style="78" customWidth="1"/>
    <col min="9438" max="9438" width="68.7109375" style="78" customWidth="1"/>
    <col min="9439" max="9439" width="15" style="78" customWidth="1"/>
    <col min="9440" max="9440" width="14.140625" style="78" bestFit="1" customWidth="1"/>
    <col min="9441" max="9441" width="16.5703125" style="78" customWidth="1"/>
    <col min="9442" max="9443" width="9.140625" style="78"/>
    <col min="9444" max="9444" width="8.7109375" style="78" customWidth="1"/>
    <col min="9445" max="9690" width="9.140625" style="78"/>
    <col min="9691" max="9691" width="15.28515625" style="78" customWidth="1"/>
    <col min="9692" max="9692" width="10.140625" style="78" customWidth="1"/>
    <col min="9693" max="9693" width="7.28515625" style="78" customWidth="1"/>
    <col min="9694" max="9694" width="68.7109375" style="78" customWidth="1"/>
    <col min="9695" max="9695" width="15" style="78" customWidth="1"/>
    <col min="9696" max="9696" width="14.140625" style="78" bestFit="1" customWidth="1"/>
    <col min="9697" max="9697" width="16.5703125" style="78" customWidth="1"/>
    <col min="9698" max="9699" width="9.140625" style="78"/>
    <col min="9700" max="9700" width="8.7109375" style="78" customWidth="1"/>
    <col min="9701" max="9946" width="9.140625" style="78"/>
    <col min="9947" max="9947" width="15.28515625" style="78" customWidth="1"/>
    <col min="9948" max="9948" width="10.140625" style="78" customWidth="1"/>
    <col min="9949" max="9949" width="7.28515625" style="78" customWidth="1"/>
    <col min="9950" max="9950" width="68.7109375" style="78" customWidth="1"/>
    <col min="9951" max="9951" width="15" style="78" customWidth="1"/>
    <col min="9952" max="9952" width="14.140625" style="78" bestFit="1" customWidth="1"/>
    <col min="9953" max="9953" width="16.5703125" style="78" customWidth="1"/>
    <col min="9954" max="9955" width="9.140625" style="78"/>
    <col min="9956" max="9956" width="8.7109375" style="78" customWidth="1"/>
    <col min="9957" max="10202" width="9.140625" style="78"/>
    <col min="10203" max="10203" width="15.28515625" style="78" customWidth="1"/>
    <col min="10204" max="10204" width="10.140625" style="78" customWidth="1"/>
    <col min="10205" max="10205" width="7.28515625" style="78" customWidth="1"/>
    <col min="10206" max="10206" width="68.7109375" style="78" customWidth="1"/>
    <col min="10207" max="10207" width="15" style="78" customWidth="1"/>
    <col min="10208" max="10208" width="14.140625" style="78" bestFit="1" customWidth="1"/>
    <col min="10209" max="10209" width="16.5703125" style="78" customWidth="1"/>
    <col min="10210" max="10211" width="9.140625" style="78"/>
    <col min="10212" max="10212" width="8.7109375" style="78" customWidth="1"/>
    <col min="10213" max="10458" width="9.140625" style="78"/>
    <col min="10459" max="10459" width="15.28515625" style="78" customWidth="1"/>
    <col min="10460" max="10460" width="10.140625" style="78" customWidth="1"/>
    <col min="10461" max="10461" width="7.28515625" style="78" customWidth="1"/>
    <col min="10462" max="10462" width="68.7109375" style="78" customWidth="1"/>
    <col min="10463" max="10463" width="15" style="78" customWidth="1"/>
    <col min="10464" max="10464" width="14.140625" style="78" bestFit="1" customWidth="1"/>
    <col min="10465" max="10465" width="16.5703125" style="78" customWidth="1"/>
    <col min="10466" max="10467" width="9.140625" style="78"/>
    <col min="10468" max="10468" width="8.7109375" style="78" customWidth="1"/>
    <col min="10469" max="10714" width="9.140625" style="78"/>
    <col min="10715" max="10715" width="15.28515625" style="78" customWidth="1"/>
    <col min="10716" max="10716" width="10.140625" style="78" customWidth="1"/>
    <col min="10717" max="10717" width="7.28515625" style="78" customWidth="1"/>
    <col min="10718" max="10718" width="68.7109375" style="78" customWidth="1"/>
    <col min="10719" max="10719" width="15" style="78" customWidth="1"/>
    <col min="10720" max="10720" width="14.140625" style="78" bestFit="1" customWidth="1"/>
    <col min="10721" max="10721" width="16.5703125" style="78" customWidth="1"/>
    <col min="10722" max="10723" width="9.140625" style="78"/>
    <col min="10724" max="10724" width="8.7109375" style="78" customWidth="1"/>
    <col min="10725" max="10970" width="9.140625" style="78"/>
    <col min="10971" max="10971" width="15.28515625" style="78" customWidth="1"/>
    <col min="10972" max="10972" width="10.140625" style="78" customWidth="1"/>
    <col min="10973" max="10973" width="7.28515625" style="78" customWidth="1"/>
    <col min="10974" max="10974" width="68.7109375" style="78" customWidth="1"/>
    <col min="10975" max="10975" width="15" style="78" customWidth="1"/>
    <col min="10976" max="10976" width="14.140625" style="78" bestFit="1" customWidth="1"/>
    <col min="10977" max="10977" width="16.5703125" style="78" customWidth="1"/>
    <col min="10978" max="10979" width="9.140625" style="78"/>
    <col min="10980" max="10980" width="8.7109375" style="78" customWidth="1"/>
    <col min="10981" max="11226" width="9.140625" style="78"/>
    <col min="11227" max="11227" width="15.28515625" style="78" customWidth="1"/>
    <col min="11228" max="11228" width="10.140625" style="78" customWidth="1"/>
    <col min="11229" max="11229" width="7.28515625" style="78" customWidth="1"/>
    <col min="11230" max="11230" width="68.7109375" style="78" customWidth="1"/>
    <col min="11231" max="11231" width="15" style="78" customWidth="1"/>
    <col min="11232" max="11232" width="14.140625" style="78" bestFit="1" customWidth="1"/>
    <col min="11233" max="11233" width="16.5703125" style="78" customWidth="1"/>
    <col min="11234" max="11235" width="9.140625" style="78"/>
    <col min="11236" max="11236" width="8.7109375" style="78" customWidth="1"/>
    <col min="11237" max="11482" width="9.140625" style="78"/>
    <col min="11483" max="11483" width="15.28515625" style="78" customWidth="1"/>
    <col min="11484" max="11484" width="10.140625" style="78" customWidth="1"/>
    <col min="11485" max="11485" width="7.28515625" style="78" customWidth="1"/>
    <col min="11486" max="11486" width="68.7109375" style="78" customWidth="1"/>
    <col min="11487" max="11487" width="15" style="78" customWidth="1"/>
    <col min="11488" max="11488" width="14.140625" style="78" bestFit="1" customWidth="1"/>
    <col min="11489" max="11489" width="16.5703125" style="78" customWidth="1"/>
    <col min="11490" max="11491" width="9.140625" style="78"/>
    <col min="11492" max="11492" width="8.7109375" style="78" customWidth="1"/>
    <col min="11493" max="11738" width="9.140625" style="78"/>
    <col min="11739" max="11739" width="15.28515625" style="78" customWidth="1"/>
    <col min="11740" max="11740" width="10.140625" style="78" customWidth="1"/>
    <col min="11741" max="11741" width="7.28515625" style="78" customWidth="1"/>
    <col min="11742" max="11742" width="68.7109375" style="78" customWidth="1"/>
    <col min="11743" max="11743" width="15" style="78" customWidth="1"/>
    <col min="11744" max="11744" width="14.140625" style="78" bestFit="1" customWidth="1"/>
    <col min="11745" max="11745" width="16.5703125" style="78" customWidth="1"/>
    <col min="11746" max="11747" width="9.140625" style="78"/>
    <col min="11748" max="11748" width="8.7109375" style="78" customWidth="1"/>
    <col min="11749" max="11994" width="9.140625" style="78"/>
    <col min="11995" max="11995" width="15.28515625" style="78" customWidth="1"/>
    <col min="11996" max="11996" width="10.140625" style="78" customWidth="1"/>
    <col min="11997" max="11997" width="7.28515625" style="78" customWidth="1"/>
    <col min="11998" max="11998" width="68.7109375" style="78" customWidth="1"/>
    <col min="11999" max="11999" width="15" style="78" customWidth="1"/>
    <col min="12000" max="12000" width="14.140625" style="78" bestFit="1" customWidth="1"/>
    <col min="12001" max="12001" width="16.5703125" style="78" customWidth="1"/>
    <col min="12002" max="12003" width="9.140625" style="78"/>
    <col min="12004" max="12004" width="8.7109375" style="78" customWidth="1"/>
    <col min="12005" max="12250" width="9.140625" style="78"/>
    <col min="12251" max="12251" width="15.28515625" style="78" customWidth="1"/>
    <col min="12252" max="12252" width="10.140625" style="78" customWidth="1"/>
    <col min="12253" max="12253" width="7.28515625" style="78" customWidth="1"/>
    <col min="12254" max="12254" width="68.7109375" style="78" customWidth="1"/>
    <col min="12255" max="12255" width="15" style="78" customWidth="1"/>
    <col min="12256" max="12256" width="14.140625" style="78" bestFit="1" customWidth="1"/>
    <col min="12257" max="12257" width="16.5703125" style="78" customWidth="1"/>
    <col min="12258" max="12259" width="9.140625" style="78"/>
    <col min="12260" max="12260" width="8.7109375" style="78" customWidth="1"/>
    <col min="12261" max="12506" width="9.140625" style="78"/>
    <col min="12507" max="12507" width="15.28515625" style="78" customWidth="1"/>
    <col min="12508" max="12508" width="10.140625" style="78" customWidth="1"/>
    <col min="12509" max="12509" width="7.28515625" style="78" customWidth="1"/>
    <col min="12510" max="12510" width="68.7109375" style="78" customWidth="1"/>
    <col min="12511" max="12511" width="15" style="78" customWidth="1"/>
    <col min="12512" max="12512" width="14.140625" style="78" bestFit="1" customWidth="1"/>
    <col min="12513" max="12513" width="16.5703125" style="78" customWidth="1"/>
    <col min="12514" max="12515" width="9.140625" style="78"/>
    <col min="12516" max="12516" width="8.7109375" style="78" customWidth="1"/>
    <col min="12517" max="12762" width="9.140625" style="78"/>
    <col min="12763" max="12763" width="15.28515625" style="78" customWidth="1"/>
    <col min="12764" max="12764" width="10.140625" style="78" customWidth="1"/>
    <col min="12765" max="12765" width="7.28515625" style="78" customWidth="1"/>
    <col min="12766" max="12766" width="68.7109375" style="78" customWidth="1"/>
    <col min="12767" max="12767" width="15" style="78" customWidth="1"/>
    <col min="12768" max="12768" width="14.140625" style="78" bestFit="1" customWidth="1"/>
    <col min="12769" max="12769" width="16.5703125" style="78" customWidth="1"/>
    <col min="12770" max="12771" width="9.140625" style="78"/>
    <col min="12772" max="12772" width="8.7109375" style="78" customWidth="1"/>
    <col min="12773" max="13018" width="9.140625" style="78"/>
    <col min="13019" max="13019" width="15.28515625" style="78" customWidth="1"/>
    <col min="13020" max="13020" width="10.140625" style="78" customWidth="1"/>
    <col min="13021" max="13021" width="7.28515625" style="78" customWidth="1"/>
    <col min="13022" max="13022" width="68.7109375" style="78" customWidth="1"/>
    <col min="13023" max="13023" width="15" style="78" customWidth="1"/>
    <col min="13024" max="13024" width="14.140625" style="78" bestFit="1" customWidth="1"/>
    <col min="13025" max="13025" width="16.5703125" style="78" customWidth="1"/>
    <col min="13026" max="13027" width="9.140625" style="78"/>
    <col min="13028" max="13028" width="8.7109375" style="78" customWidth="1"/>
    <col min="13029" max="13274" width="9.140625" style="78"/>
    <col min="13275" max="13275" width="15.28515625" style="78" customWidth="1"/>
    <col min="13276" max="13276" width="10.140625" style="78" customWidth="1"/>
    <col min="13277" max="13277" width="7.28515625" style="78" customWidth="1"/>
    <col min="13278" max="13278" width="68.7109375" style="78" customWidth="1"/>
    <col min="13279" max="13279" width="15" style="78" customWidth="1"/>
    <col min="13280" max="13280" width="14.140625" style="78" bestFit="1" customWidth="1"/>
    <col min="13281" max="13281" width="16.5703125" style="78" customWidth="1"/>
    <col min="13282" max="13283" width="9.140625" style="78"/>
    <col min="13284" max="13284" width="8.7109375" style="78" customWidth="1"/>
    <col min="13285" max="13530" width="9.140625" style="78"/>
    <col min="13531" max="13531" width="15.28515625" style="78" customWidth="1"/>
    <col min="13532" max="13532" width="10.140625" style="78" customWidth="1"/>
    <col min="13533" max="13533" width="7.28515625" style="78" customWidth="1"/>
    <col min="13534" max="13534" width="68.7109375" style="78" customWidth="1"/>
    <col min="13535" max="13535" width="15" style="78" customWidth="1"/>
    <col min="13536" max="13536" width="14.140625" style="78" bestFit="1" customWidth="1"/>
    <col min="13537" max="13537" width="16.5703125" style="78" customWidth="1"/>
    <col min="13538" max="13539" width="9.140625" style="78"/>
    <col min="13540" max="13540" width="8.7109375" style="78" customWidth="1"/>
    <col min="13541" max="13786" width="9.140625" style="78"/>
    <col min="13787" max="13787" width="15.28515625" style="78" customWidth="1"/>
    <col min="13788" max="13788" width="10.140625" style="78" customWidth="1"/>
    <col min="13789" max="13789" width="7.28515625" style="78" customWidth="1"/>
    <col min="13790" max="13790" width="68.7109375" style="78" customWidth="1"/>
    <col min="13791" max="13791" width="15" style="78" customWidth="1"/>
    <col min="13792" max="13792" width="14.140625" style="78" bestFit="1" customWidth="1"/>
    <col min="13793" max="13793" width="16.5703125" style="78" customWidth="1"/>
    <col min="13794" max="13795" width="9.140625" style="78"/>
    <col min="13796" max="13796" width="8.7109375" style="78" customWidth="1"/>
    <col min="13797" max="14042" width="9.140625" style="78"/>
    <col min="14043" max="14043" width="15.28515625" style="78" customWidth="1"/>
    <col min="14044" max="14044" width="10.140625" style="78" customWidth="1"/>
    <col min="14045" max="14045" width="7.28515625" style="78" customWidth="1"/>
    <col min="14046" max="14046" width="68.7109375" style="78" customWidth="1"/>
    <col min="14047" max="14047" width="15" style="78" customWidth="1"/>
    <col min="14048" max="14048" width="14.140625" style="78" bestFit="1" customWidth="1"/>
    <col min="14049" max="14049" width="16.5703125" style="78" customWidth="1"/>
    <col min="14050" max="14051" width="9.140625" style="78"/>
    <col min="14052" max="14052" width="8.7109375" style="78" customWidth="1"/>
    <col min="14053" max="14298" width="9.140625" style="78"/>
    <col min="14299" max="14299" width="15.28515625" style="78" customWidth="1"/>
    <col min="14300" max="14300" width="10.140625" style="78" customWidth="1"/>
    <col min="14301" max="14301" width="7.28515625" style="78" customWidth="1"/>
    <col min="14302" max="14302" width="68.7109375" style="78" customWidth="1"/>
    <col min="14303" max="14303" width="15" style="78" customWidth="1"/>
    <col min="14304" max="14304" width="14.140625" style="78" bestFit="1" customWidth="1"/>
    <col min="14305" max="14305" width="16.5703125" style="78" customWidth="1"/>
    <col min="14306" max="14307" width="9.140625" style="78"/>
    <col min="14308" max="14308" width="8.7109375" style="78" customWidth="1"/>
    <col min="14309" max="14554" width="9.140625" style="78"/>
    <col min="14555" max="14555" width="15.28515625" style="78" customWidth="1"/>
    <col min="14556" max="14556" width="10.140625" style="78" customWidth="1"/>
    <col min="14557" max="14557" width="7.28515625" style="78" customWidth="1"/>
    <col min="14558" max="14558" width="68.7109375" style="78" customWidth="1"/>
    <col min="14559" max="14559" width="15" style="78" customWidth="1"/>
    <col min="14560" max="14560" width="14.140625" style="78" bestFit="1" customWidth="1"/>
    <col min="14561" max="14561" width="16.5703125" style="78" customWidth="1"/>
    <col min="14562" max="14563" width="9.140625" style="78"/>
    <col min="14564" max="14564" width="8.7109375" style="78" customWidth="1"/>
    <col min="14565" max="14810" width="9.140625" style="78"/>
    <col min="14811" max="14811" width="15.28515625" style="78" customWidth="1"/>
    <col min="14812" max="14812" width="10.140625" style="78" customWidth="1"/>
    <col min="14813" max="14813" width="7.28515625" style="78" customWidth="1"/>
    <col min="14814" max="14814" width="68.7109375" style="78" customWidth="1"/>
    <col min="14815" max="14815" width="15" style="78" customWidth="1"/>
    <col min="14816" max="14816" width="14.140625" style="78" bestFit="1" customWidth="1"/>
    <col min="14817" max="14817" width="16.5703125" style="78" customWidth="1"/>
    <col min="14818" max="14819" width="9.140625" style="78"/>
    <col min="14820" max="14820" width="8.7109375" style="78" customWidth="1"/>
    <col min="14821" max="15066" width="9.140625" style="78"/>
    <col min="15067" max="15067" width="15.28515625" style="78" customWidth="1"/>
    <col min="15068" max="15068" width="10.140625" style="78" customWidth="1"/>
    <col min="15069" max="15069" width="7.28515625" style="78" customWidth="1"/>
    <col min="15070" max="15070" width="68.7109375" style="78" customWidth="1"/>
    <col min="15071" max="15071" width="15" style="78" customWidth="1"/>
    <col min="15072" max="15072" width="14.140625" style="78" bestFit="1" customWidth="1"/>
    <col min="15073" max="15073" width="16.5703125" style="78" customWidth="1"/>
    <col min="15074" max="15075" width="9.140625" style="78"/>
    <col min="15076" max="15076" width="8.7109375" style="78" customWidth="1"/>
    <col min="15077" max="15322" width="9.140625" style="78"/>
    <col min="15323" max="15323" width="15.28515625" style="78" customWidth="1"/>
    <col min="15324" max="15324" width="10.140625" style="78" customWidth="1"/>
    <col min="15325" max="15325" width="7.28515625" style="78" customWidth="1"/>
    <col min="15326" max="15326" width="68.7109375" style="78" customWidth="1"/>
    <col min="15327" max="15327" width="15" style="78" customWidth="1"/>
    <col min="15328" max="15328" width="14.140625" style="78" bestFit="1" customWidth="1"/>
    <col min="15329" max="15329" width="16.5703125" style="78" customWidth="1"/>
    <col min="15330" max="15331" width="9.140625" style="78"/>
    <col min="15332" max="15332" width="8.7109375" style="78" customWidth="1"/>
    <col min="15333" max="15578" width="9.140625" style="78"/>
    <col min="15579" max="15579" width="15.28515625" style="78" customWidth="1"/>
    <col min="15580" max="15580" width="10.140625" style="78" customWidth="1"/>
    <col min="15581" max="15581" width="7.28515625" style="78" customWidth="1"/>
    <col min="15582" max="15582" width="68.7109375" style="78" customWidth="1"/>
    <col min="15583" max="15583" width="15" style="78" customWidth="1"/>
    <col min="15584" max="15584" width="14.140625" style="78" bestFit="1" customWidth="1"/>
    <col min="15585" max="15585" width="16.5703125" style="78" customWidth="1"/>
    <col min="15586" max="15587" width="9.140625" style="78"/>
    <col min="15588" max="15588" width="8.7109375" style="78" customWidth="1"/>
    <col min="15589" max="15834" width="9.140625" style="78"/>
    <col min="15835" max="15835" width="15.28515625" style="78" customWidth="1"/>
    <col min="15836" max="15836" width="10.140625" style="78" customWidth="1"/>
    <col min="15837" max="15837" width="7.28515625" style="78" customWidth="1"/>
    <col min="15838" max="15838" width="68.7109375" style="78" customWidth="1"/>
    <col min="15839" max="15839" width="15" style="78" customWidth="1"/>
    <col min="15840" max="15840" width="14.140625" style="78" bestFit="1" customWidth="1"/>
    <col min="15841" max="15841" width="16.5703125" style="78" customWidth="1"/>
    <col min="15842" max="15843" width="9.140625" style="78"/>
    <col min="15844" max="15844" width="8.7109375" style="78" customWidth="1"/>
    <col min="15845" max="16090" width="9.140625" style="78"/>
    <col min="16091" max="16091" width="15.28515625" style="78" customWidth="1"/>
    <col min="16092" max="16092" width="10.140625" style="78" customWidth="1"/>
    <col min="16093" max="16093" width="7.28515625" style="78" customWidth="1"/>
    <col min="16094" max="16094" width="68.7109375" style="78" customWidth="1"/>
    <col min="16095" max="16095" width="15" style="78" customWidth="1"/>
    <col min="16096" max="16096" width="14.140625" style="78" bestFit="1" customWidth="1"/>
    <col min="16097" max="16097" width="16.5703125" style="78" customWidth="1"/>
    <col min="16098" max="16099" width="9.140625" style="78"/>
    <col min="16100" max="16100" width="8.7109375" style="78" customWidth="1"/>
    <col min="16101" max="16384" width="9.140625" style="78"/>
  </cols>
  <sheetData>
    <row r="1" spans="1:10" ht="32.25" customHeight="1">
      <c r="A1" s="691" t="s">
        <v>460</v>
      </c>
      <c r="B1" s="692"/>
      <c r="C1" s="692"/>
      <c r="D1" s="692"/>
      <c r="E1" s="692"/>
      <c r="F1" s="693"/>
      <c r="H1" s="688" t="s">
        <v>461</v>
      </c>
      <c r="I1" s="689"/>
      <c r="J1" s="690"/>
    </row>
    <row r="2" spans="1:10" s="77" customFormat="1" ht="48.75" customHeight="1">
      <c r="A2" s="128" t="s">
        <v>462</v>
      </c>
      <c r="B2" s="128" t="s">
        <v>463</v>
      </c>
      <c r="C2" s="129" t="s">
        <v>464</v>
      </c>
      <c r="D2" s="128" t="s">
        <v>465</v>
      </c>
      <c r="E2" s="130" t="s">
        <v>466</v>
      </c>
      <c r="F2" s="130" t="s">
        <v>467</v>
      </c>
    </row>
    <row r="3" spans="1:10" ht="31.5">
      <c r="A3" s="125"/>
      <c r="B3" s="125" t="s">
        <v>468</v>
      </c>
      <c r="C3" s="126" t="s">
        <v>469</v>
      </c>
      <c r="D3" s="125" t="s">
        <v>470</v>
      </c>
      <c r="E3" s="127" t="s">
        <v>471</v>
      </c>
      <c r="F3" s="127">
        <v>2.66</v>
      </c>
    </row>
    <row r="4" spans="1:10">
      <c r="A4" s="121" t="s">
        <v>472</v>
      </c>
      <c r="B4" s="121" t="s">
        <v>473</v>
      </c>
      <c r="C4" s="120" t="s">
        <v>474</v>
      </c>
      <c r="D4" s="121" t="s">
        <v>475</v>
      </c>
      <c r="E4" s="122" t="s">
        <v>476</v>
      </c>
      <c r="F4" s="122"/>
    </row>
    <row r="5" spans="1:10">
      <c r="A5" s="121" t="s">
        <v>472</v>
      </c>
      <c r="B5" s="121" t="s">
        <v>477</v>
      </c>
      <c r="C5" s="120" t="s">
        <v>478</v>
      </c>
      <c r="D5" s="121" t="s">
        <v>475</v>
      </c>
      <c r="E5" s="122" t="s">
        <v>479</v>
      </c>
      <c r="F5" s="230"/>
    </row>
    <row r="6" spans="1:10" ht="31.5">
      <c r="A6" s="125"/>
      <c r="B6" s="125" t="s">
        <v>480</v>
      </c>
      <c r="C6" s="126" t="s">
        <v>481</v>
      </c>
      <c r="D6" s="125" t="s">
        <v>482</v>
      </c>
      <c r="E6" s="127" t="s">
        <v>471</v>
      </c>
      <c r="F6" s="127">
        <v>23.26</v>
      </c>
    </row>
    <row r="7" spans="1:10">
      <c r="A7" s="121" t="s">
        <v>472</v>
      </c>
      <c r="B7" s="121" t="s">
        <v>473</v>
      </c>
      <c r="C7" s="120" t="s">
        <v>474</v>
      </c>
      <c r="D7" s="121" t="s">
        <v>475</v>
      </c>
      <c r="E7" s="122" t="s">
        <v>483</v>
      </c>
      <c r="F7" s="122"/>
    </row>
    <row r="8" spans="1:10">
      <c r="A8" s="121" t="s">
        <v>472</v>
      </c>
      <c r="B8" s="121" t="s">
        <v>477</v>
      </c>
      <c r="C8" s="120" t="s">
        <v>478</v>
      </c>
      <c r="D8" s="121" t="s">
        <v>475</v>
      </c>
      <c r="E8" s="122" t="s">
        <v>484</v>
      </c>
      <c r="F8" s="230"/>
    </row>
    <row r="9" spans="1:10">
      <c r="A9" s="131"/>
      <c r="B9" s="132">
        <v>87262</v>
      </c>
      <c r="C9" s="133" t="s">
        <v>485</v>
      </c>
      <c r="D9" s="125" t="s">
        <v>482</v>
      </c>
      <c r="E9" s="132"/>
      <c r="F9" s="127">
        <v>156.04</v>
      </c>
    </row>
    <row r="10" spans="1:10">
      <c r="A10" s="121" t="s">
        <v>486</v>
      </c>
      <c r="B10" s="121" t="s">
        <v>487</v>
      </c>
      <c r="C10" s="120" t="s">
        <v>488</v>
      </c>
      <c r="D10" s="121" t="s">
        <v>489</v>
      </c>
      <c r="E10" s="122" t="s">
        <v>490</v>
      </c>
      <c r="F10" s="122"/>
    </row>
    <row r="11" spans="1:10">
      <c r="A11" s="121" t="s">
        <v>486</v>
      </c>
      <c r="B11" s="121" t="s">
        <v>491</v>
      </c>
      <c r="C11" s="120" t="s">
        <v>492</v>
      </c>
      <c r="D11" s="121" t="s">
        <v>489</v>
      </c>
      <c r="E11" s="122" t="s">
        <v>493</v>
      </c>
      <c r="F11" s="122"/>
    </row>
    <row r="12" spans="1:10">
      <c r="A12" s="121" t="s">
        <v>486</v>
      </c>
      <c r="B12" s="121" t="s">
        <v>494</v>
      </c>
      <c r="C12" s="120" t="s">
        <v>495</v>
      </c>
      <c r="D12" s="121" t="s">
        <v>482</v>
      </c>
      <c r="E12" s="122" t="s">
        <v>496</v>
      </c>
      <c r="F12" s="122"/>
    </row>
    <row r="13" spans="1:10">
      <c r="A13" s="121" t="s">
        <v>472</v>
      </c>
      <c r="B13" s="121" t="s">
        <v>473</v>
      </c>
      <c r="C13" s="120" t="s">
        <v>474</v>
      </c>
      <c r="D13" s="121" t="s">
        <v>475</v>
      </c>
      <c r="E13" s="122" t="s">
        <v>497</v>
      </c>
      <c r="F13" s="230"/>
    </row>
    <row r="14" spans="1:10">
      <c r="A14" s="121" t="s">
        <v>472</v>
      </c>
      <c r="B14" s="121" t="s">
        <v>477</v>
      </c>
      <c r="C14" s="120" t="s">
        <v>478</v>
      </c>
      <c r="D14" s="121" t="s">
        <v>475</v>
      </c>
      <c r="E14" s="122" t="s">
        <v>498</v>
      </c>
      <c r="F14" s="230"/>
    </row>
    <row r="15" spans="1:10">
      <c r="A15" s="125"/>
      <c r="B15" s="125">
        <v>98671</v>
      </c>
      <c r="C15" s="126" t="s">
        <v>499</v>
      </c>
      <c r="D15" s="125" t="s">
        <v>482</v>
      </c>
      <c r="E15" s="127" t="s">
        <v>471</v>
      </c>
      <c r="F15" s="127">
        <v>367.43</v>
      </c>
    </row>
    <row r="16" spans="1:10">
      <c r="A16" s="121" t="s">
        <v>486</v>
      </c>
      <c r="B16" s="121">
        <v>10841</v>
      </c>
      <c r="C16" s="120" t="s">
        <v>500</v>
      </c>
      <c r="D16" s="121" t="s">
        <v>482</v>
      </c>
      <c r="E16" s="122" t="s">
        <v>501</v>
      </c>
      <c r="F16" s="122"/>
    </row>
    <row r="17" spans="1:10">
      <c r="A17" s="121" t="s">
        <v>486</v>
      </c>
      <c r="B17" s="121" t="s">
        <v>502</v>
      </c>
      <c r="C17" s="120" t="s">
        <v>503</v>
      </c>
      <c r="D17" s="121" t="s">
        <v>489</v>
      </c>
      <c r="E17" s="122" t="s">
        <v>490</v>
      </c>
      <c r="F17" s="122"/>
    </row>
    <row r="18" spans="1:10">
      <c r="A18" s="121" t="s">
        <v>486</v>
      </c>
      <c r="B18" s="121" t="s">
        <v>491</v>
      </c>
      <c r="C18" s="120" t="s">
        <v>504</v>
      </c>
      <c r="D18" s="121" t="s">
        <v>489</v>
      </c>
      <c r="E18" s="122" t="s">
        <v>493</v>
      </c>
      <c r="F18" s="122"/>
    </row>
    <row r="19" spans="1:10">
      <c r="A19" s="121" t="s">
        <v>472</v>
      </c>
      <c r="B19" s="121" t="s">
        <v>505</v>
      </c>
      <c r="C19" s="120" t="s">
        <v>506</v>
      </c>
      <c r="D19" s="121" t="s">
        <v>475</v>
      </c>
      <c r="E19" s="122" t="s">
        <v>507</v>
      </c>
      <c r="F19" s="122"/>
    </row>
    <row r="20" spans="1:10">
      <c r="A20" s="121" t="s">
        <v>472</v>
      </c>
      <c r="B20" s="121" t="s">
        <v>477</v>
      </c>
      <c r="C20" s="120" t="s">
        <v>478</v>
      </c>
      <c r="D20" s="121" t="s">
        <v>475</v>
      </c>
      <c r="E20" s="122" t="s">
        <v>508</v>
      </c>
      <c r="F20" s="122"/>
    </row>
    <row r="21" spans="1:10">
      <c r="A21" s="125"/>
      <c r="B21" s="125">
        <v>98671</v>
      </c>
      <c r="C21" s="126" t="s">
        <v>509</v>
      </c>
      <c r="D21" s="125" t="s">
        <v>482</v>
      </c>
      <c r="E21" s="127" t="s">
        <v>471</v>
      </c>
      <c r="F21" s="127">
        <v>367.43</v>
      </c>
    </row>
    <row r="22" spans="1:10">
      <c r="A22" s="121" t="s">
        <v>486</v>
      </c>
      <c r="B22" s="121">
        <v>10841</v>
      </c>
      <c r="C22" s="120" t="s">
        <v>510</v>
      </c>
      <c r="D22" s="121" t="s">
        <v>482</v>
      </c>
      <c r="E22" s="122" t="s">
        <v>501</v>
      </c>
      <c r="F22" s="122"/>
    </row>
    <row r="23" spans="1:10">
      <c r="A23" s="121" t="s">
        <v>486</v>
      </c>
      <c r="B23" s="121" t="s">
        <v>502</v>
      </c>
      <c r="C23" s="120" t="s">
        <v>503</v>
      </c>
      <c r="D23" s="121" t="s">
        <v>489</v>
      </c>
      <c r="E23" s="122" t="s">
        <v>490</v>
      </c>
      <c r="F23" s="122"/>
    </row>
    <row r="24" spans="1:10">
      <c r="A24" s="121" t="s">
        <v>486</v>
      </c>
      <c r="B24" s="121" t="s">
        <v>491</v>
      </c>
      <c r="C24" s="120" t="s">
        <v>504</v>
      </c>
      <c r="D24" s="121" t="s">
        <v>489</v>
      </c>
      <c r="E24" s="122" t="s">
        <v>493</v>
      </c>
      <c r="F24" s="122"/>
    </row>
    <row r="25" spans="1:10">
      <c r="A25" s="121" t="s">
        <v>472</v>
      </c>
      <c r="B25" s="121" t="s">
        <v>505</v>
      </c>
      <c r="C25" s="120" t="s">
        <v>506</v>
      </c>
      <c r="D25" s="121" t="s">
        <v>475</v>
      </c>
      <c r="E25" s="122" t="s">
        <v>507</v>
      </c>
      <c r="F25" s="122"/>
    </row>
    <row r="26" spans="1:10">
      <c r="A26" s="121" t="s">
        <v>472</v>
      </c>
      <c r="B26" s="121" t="s">
        <v>477</v>
      </c>
      <c r="C26" s="120" t="s">
        <v>478</v>
      </c>
      <c r="D26" s="121" t="s">
        <v>475</v>
      </c>
      <c r="E26" s="122" t="s">
        <v>508</v>
      </c>
      <c r="F26" s="122"/>
    </row>
    <row r="27" spans="1:10">
      <c r="A27" s="125"/>
      <c r="B27" s="125" t="s">
        <v>511</v>
      </c>
      <c r="C27" s="126" t="s">
        <v>512</v>
      </c>
      <c r="D27" s="125" t="s">
        <v>482</v>
      </c>
      <c r="E27" s="127" t="s">
        <v>471</v>
      </c>
      <c r="F27" s="127">
        <f>(E28*F28)+(E29*F29)+(E30*F30)+(E31*F31)+(E32*F32)+(E33*F33)</f>
        <v>206.80405416666667</v>
      </c>
    </row>
    <row r="28" spans="1:10">
      <c r="A28" s="121" t="s">
        <v>486</v>
      </c>
      <c r="B28" s="121" t="s">
        <v>513</v>
      </c>
      <c r="C28" s="120" t="s">
        <v>514</v>
      </c>
      <c r="D28" s="121" t="s">
        <v>489</v>
      </c>
      <c r="E28" s="122" t="s">
        <v>515</v>
      </c>
      <c r="F28" s="122">
        <v>50.28</v>
      </c>
    </row>
    <row r="29" spans="1:10" customFormat="1" ht="47.25">
      <c r="A29" s="121" t="s">
        <v>486</v>
      </c>
      <c r="B29" s="94" t="s">
        <v>461</v>
      </c>
      <c r="C29" s="120" t="s">
        <v>516</v>
      </c>
      <c r="D29" s="121" t="s">
        <v>482</v>
      </c>
      <c r="E29" s="122" t="s">
        <v>517</v>
      </c>
      <c r="F29" s="122">
        <f>AVERAGE(H29:J29)</f>
        <v>172.32847222222222</v>
      </c>
      <c r="H29" s="257">
        <f>(572.04+79.55)/3.6</f>
        <v>180.99722222222221</v>
      </c>
      <c r="I29" s="257">
        <f>(299.51+93)/2.88</f>
        <v>136.28819444444446</v>
      </c>
      <c r="J29" s="257">
        <v>199.7</v>
      </c>
    </row>
    <row r="30" spans="1:10" customFormat="1">
      <c r="A30" s="121" t="s">
        <v>472</v>
      </c>
      <c r="B30" s="121" t="s">
        <v>518</v>
      </c>
      <c r="C30" s="120" t="s">
        <v>519</v>
      </c>
      <c r="D30" s="121" t="s">
        <v>475</v>
      </c>
      <c r="E30" s="122" t="s">
        <v>520</v>
      </c>
      <c r="F30" s="122">
        <v>29.53</v>
      </c>
    </row>
    <row r="31" spans="1:10">
      <c r="A31" s="121" t="s">
        <v>472</v>
      </c>
      <c r="B31" s="121" t="s">
        <v>477</v>
      </c>
      <c r="C31" s="120" t="s">
        <v>478</v>
      </c>
      <c r="D31" s="121" t="s">
        <v>475</v>
      </c>
      <c r="E31" s="122" t="s">
        <v>521</v>
      </c>
      <c r="F31" s="122">
        <v>21.91</v>
      </c>
    </row>
    <row r="32" spans="1:10" customFormat="1" ht="31.5">
      <c r="A32" s="121" t="s">
        <v>472</v>
      </c>
      <c r="B32" s="121" t="s">
        <v>522</v>
      </c>
      <c r="C32" s="120" t="s">
        <v>523</v>
      </c>
      <c r="D32" s="121" t="s">
        <v>524</v>
      </c>
      <c r="E32" s="122" t="s">
        <v>525</v>
      </c>
      <c r="F32" s="122">
        <v>2.58</v>
      </c>
    </row>
    <row r="33" spans="1:7" ht="31.5">
      <c r="A33" s="121" t="s">
        <v>472</v>
      </c>
      <c r="B33" s="121" t="s">
        <v>526</v>
      </c>
      <c r="C33" s="120" t="s">
        <v>527</v>
      </c>
      <c r="D33" s="121" t="s">
        <v>528</v>
      </c>
      <c r="E33" s="122" t="s">
        <v>529</v>
      </c>
      <c r="F33" s="122">
        <v>0.52</v>
      </c>
    </row>
    <row r="34" spans="1:7" ht="31.5">
      <c r="A34" s="125"/>
      <c r="B34" s="125" t="s">
        <v>530</v>
      </c>
      <c r="C34" s="126" t="s">
        <v>531</v>
      </c>
      <c r="D34" s="125" t="s">
        <v>482</v>
      </c>
      <c r="E34" s="127" t="s">
        <v>471</v>
      </c>
      <c r="F34" s="127">
        <v>70.64</v>
      </c>
      <c r="G34" s="153"/>
    </row>
    <row r="35" spans="1:7">
      <c r="A35" s="121" t="s">
        <v>486</v>
      </c>
      <c r="B35" s="121" t="s">
        <v>532</v>
      </c>
      <c r="C35" s="120" t="s">
        <v>533</v>
      </c>
      <c r="D35" s="121" t="s">
        <v>534</v>
      </c>
      <c r="E35" s="122" t="s">
        <v>535</v>
      </c>
      <c r="F35" s="119"/>
      <c r="G35" s="153"/>
    </row>
    <row r="36" spans="1:7">
      <c r="A36" s="121" t="s">
        <v>486</v>
      </c>
      <c r="B36" s="121" t="s">
        <v>536</v>
      </c>
      <c r="C36" s="120" t="s">
        <v>537</v>
      </c>
      <c r="D36" s="121" t="s">
        <v>534</v>
      </c>
      <c r="E36" s="122" t="s">
        <v>538</v>
      </c>
      <c r="F36" s="119"/>
      <c r="G36" s="153"/>
    </row>
    <row r="37" spans="1:7">
      <c r="A37" s="121" t="s">
        <v>486</v>
      </c>
      <c r="B37" s="121" t="s">
        <v>539</v>
      </c>
      <c r="C37" s="120" t="s">
        <v>540</v>
      </c>
      <c r="D37" s="121" t="s">
        <v>541</v>
      </c>
      <c r="E37" s="122" t="s">
        <v>542</v>
      </c>
      <c r="F37" s="119"/>
      <c r="G37" s="153"/>
    </row>
    <row r="38" spans="1:7">
      <c r="A38" s="121" t="s">
        <v>486</v>
      </c>
      <c r="B38" s="121" t="s">
        <v>543</v>
      </c>
      <c r="C38" s="120" t="s">
        <v>544</v>
      </c>
      <c r="D38" s="121" t="s">
        <v>534</v>
      </c>
      <c r="E38" s="122" t="s">
        <v>545</v>
      </c>
      <c r="F38" s="119"/>
      <c r="G38" s="153"/>
    </row>
    <row r="39" spans="1:7">
      <c r="A39" s="121" t="s">
        <v>472</v>
      </c>
      <c r="B39" s="121" t="s">
        <v>546</v>
      </c>
      <c r="C39" s="120" t="s">
        <v>547</v>
      </c>
      <c r="D39" s="121" t="s">
        <v>475</v>
      </c>
      <c r="E39" s="122" t="s">
        <v>548</v>
      </c>
      <c r="F39" s="119"/>
      <c r="G39" s="153"/>
    </row>
    <row r="40" spans="1:7">
      <c r="A40" s="121" t="s">
        <v>472</v>
      </c>
      <c r="B40" s="121" t="s">
        <v>477</v>
      </c>
      <c r="C40" s="120" t="s">
        <v>478</v>
      </c>
      <c r="D40" s="121" t="s">
        <v>475</v>
      </c>
      <c r="E40" s="122" t="s">
        <v>549</v>
      </c>
      <c r="F40" s="119"/>
      <c r="G40" s="153"/>
    </row>
    <row r="41" spans="1:7" ht="31.5">
      <c r="A41" s="125"/>
      <c r="B41" s="125" t="s">
        <v>550</v>
      </c>
      <c r="C41" s="126" t="s">
        <v>551</v>
      </c>
      <c r="D41" s="125" t="s">
        <v>470</v>
      </c>
      <c r="E41" s="127" t="s">
        <v>471</v>
      </c>
      <c r="F41" s="127">
        <v>14.55</v>
      </c>
    </row>
    <row r="42" spans="1:7">
      <c r="A42" s="121" t="s">
        <v>486</v>
      </c>
      <c r="B42" s="121" t="s">
        <v>532</v>
      </c>
      <c r="C42" s="120" t="s">
        <v>533</v>
      </c>
      <c r="D42" s="121" t="s">
        <v>534</v>
      </c>
      <c r="E42" s="122" t="s">
        <v>552</v>
      </c>
      <c r="F42" s="122" t="s">
        <v>471</v>
      </c>
    </row>
    <row r="43" spans="1:7">
      <c r="A43" s="121" t="s">
        <v>486</v>
      </c>
      <c r="B43" s="121" t="s">
        <v>536</v>
      </c>
      <c r="C43" s="120" t="s">
        <v>537</v>
      </c>
      <c r="D43" s="121" t="s">
        <v>534</v>
      </c>
      <c r="E43" s="122" t="s">
        <v>553</v>
      </c>
      <c r="F43" s="122" t="s">
        <v>471</v>
      </c>
    </row>
    <row r="44" spans="1:7">
      <c r="A44" s="121" t="s">
        <v>486</v>
      </c>
      <c r="B44" s="121" t="s">
        <v>539</v>
      </c>
      <c r="C44" s="120" t="s">
        <v>540</v>
      </c>
      <c r="D44" s="121" t="s">
        <v>541</v>
      </c>
      <c r="E44" s="122" t="s">
        <v>554</v>
      </c>
      <c r="F44" s="122" t="s">
        <v>471</v>
      </c>
    </row>
    <row r="45" spans="1:7">
      <c r="A45" s="121" t="s">
        <v>486</v>
      </c>
      <c r="B45" s="121" t="s">
        <v>543</v>
      </c>
      <c r="C45" s="120" t="s">
        <v>544</v>
      </c>
      <c r="D45" s="121" t="s">
        <v>534</v>
      </c>
      <c r="E45" s="122" t="s">
        <v>555</v>
      </c>
      <c r="F45" s="122" t="s">
        <v>471</v>
      </c>
    </row>
    <row r="46" spans="1:7">
      <c r="A46" s="121" t="s">
        <v>472</v>
      </c>
      <c r="B46" s="121" t="s">
        <v>546</v>
      </c>
      <c r="C46" s="120" t="s">
        <v>547</v>
      </c>
      <c r="D46" s="121" t="s">
        <v>475</v>
      </c>
      <c r="E46" s="122" t="s">
        <v>521</v>
      </c>
      <c r="F46" s="122" t="s">
        <v>471</v>
      </c>
    </row>
    <row r="47" spans="1:7">
      <c r="A47" s="121" t="s">
        <v>472</v>
      </c>
      <c r="B47" s="121" t="s">
        <v>477</v>
      </c>
      <c r="C47" s="120" t="s">
        <v>478</v>
      </c>
      <c r="D47" s="121" t="s">
        <v>475</v>
      </c>
      <c r="E47" s="122" t="s">
        <v>556</v>
      </c>
      <c r="F47" s="122" t="s">
        <v>471</v>
      </c>
    </row>
    <row r="48" spans="1:7" ht="31.5">
      <c r="A48" s="125"/>
      <c r="B48" s="125" t="s">
        <v>557</v>
      </c>
      <c r="C48" s="126" t="s">
        <v>558</v>
      </c>
      <c r="D48" s="125" t="s">
        <v>482</v>
      </c>
      <c r="E48" s="127" t="s">
        <v>471</v>
      </c>
      <c r="F48" s="127">
        <v>21.71</v>
      </c>
    </row>
    <row r="49" spans="1:6">
      <c r="A49" s="121" t="s">
        <v>486</v>
      </c>
      <c r="B49" s="121" t="s">
        <v>559</v>
      </c>
      <c r="C49" s="120" t="s">
        <v>560</v>
      </c>
      <c r="D49" s="121" t="s">
        <v>534</v>
      </c>
      <c r="E49" s="122" t="s">
        <v>561</v>
      </c>
      <c r="F49" s="122" t="s">
        <v>471</v>
      </c>
    </row>
    <row r="50" spans="1:6" ht="20.25" customHeight="1">
      <c r="A50" s="121" t="s">
        <v>486</v>
      </c>
      <c r="B50" s="121" t="s">
        <v>562</v>
      </c>
      <c r="C50" s="120" t="s">
        <v>563</v>
      </c>
      <c r="D50" s="121" t="s">
        <v>534</v>
      </c>
      <c r="E50" s="122" t="s">
        <v>564</v>
      </c>
      <c r="F50" s="122" t="s">
        <v>471</v>
      </c>
    </row>
    <row r="51" spans="1:6" ht="20.25" customHeight="1">
      <c r="A51" s="121" t="s">
        <v>486</v>
      </c>
      <c r="B51" s="121" t="s">
        <v>539</v>
      </c>
      <c r="C51" s="120" t="s">
        <v>540</v>
      </c>
      <c r="D51" s="121" t="s">
        <v>541</v>
      </c>
      <c r="E51" s="122" t="s">
        <v>542</v>
      </c>
      <c r="F51" s="122" t="s">
        <v>471</v>
      </c>
    </row>
    <row r="52" spans="1:6">
      <c r="A52" s="121" t="s">
        <v>472</v>
      </c>
      <c r="B52" s="121" t="s">
        <v>546</v>
      </c>
      <c r="C52" s="120" t="s">
        <v>547</v>
      </c>
      <c r="D52" s="121" t="s">
        <v>475</v>
      </c>
      <c r="E52" s="122" t="s">
        <v>548</v>
      </c>
      <c r="F52" s="122" t="s">
        <v>471</v>
      </c>
    </row>
    <row r="53" spans="1:6">
      <c r="A53" s="121" t="s">
        <v>472</v>
      </c>
      <c r="B53" s="121" t="s">
        <v>477</v>
      </c>
      <c r="C53" s="120" t="s">
        <v>478</v>
      </c>
      <c r="D53" s="121" t="s">
        <v>475</v>
      </c>
      <c r="E53" s="122" t="s">
        <v>549</v>
      </c>
      <c r="F53" s="122" t="s">
        <v>471</v>
      </c>
    </row>
    <row r="54" spans="1:6" s="134" customFormat="1">
      <c r="A54" s="125"/>
      <c r="B54" s="125" t="s">
        <v>565</v>
      </c>
      <c r="C54" s="126" t="s">
        <v>566</v>
      </c>
      <c r="D54" s="125" t="s">
        <v>482</v>
      </c>
      <c r="E54" s="127" t="s">
        <v>471</v>
      </c>
      <c r="F54" s="127">
        <f>(E55*F55)+(E56*F56)+(E57*F57)</f>
        <v>377.79741000000001</v>
      </c>
    </row>
    <row r="55" spans="1:6" ht="31.5">
      <c r="A55" s="121" t="s">
        <v>486</v>
      </c>
      <c r="B55" s="121" t="s">
        <v>567</v>
      </c>
      <c r="C55" s="120" t="s">
        <v>568</v>
      </c>
      <c r="D55" s="121" t="s">
        <v>482</v>
      </c>
      <c r="E55" s="122" t="s">
        <v>569</v>
      </c>
      <c r="F55" s="122">
        <v>361.25</v>
      </c>
    </row>
    <row r="56" spans="1:6">
      <c r="A56" s="121" t="s">
        <v>472</v>
      </c>
      <c r="B56" s="121" t="s">
        <v>518</v>
      </c>
      <c r="C56" s="120" t="s">
        <v>519</v>
      </c>
      <c r="D56" s="121" t="s">
        <v>475</v>
      </c>
      <c r="E56" s="122" t="s">
        <v>570</v>
      </c>
      <c r="F56" s="122">
        <f>F30</f>
        <v>29.53</v>
      </c>
    </row>
    <row r="57" spans="1:6">
      <c r="A57" s="121" t="s">
        <v>472</v>
      </c>
      <c r="B57" s="121" t="s">
        <v>477</v>
      </c>
      <c r="C57" s="120" t="s">
        <v>478</v>
      </c>
      <c r="D57" s="121" t="s">
        <v>475</v>
      </c>
      <c r="E57" s="122" t="s">
        <v>571</v>
      </c>
      <c r="F57" s="122">
        <f>F31</f>
        <v>21.91</v>
      </c>
    </row>
    <row r="58" spans="1:6">
      <c r="A58" s="125"/>
      <c r="B58" s="125" t="s">
        <v>565</v>
      </c>
      <c r="C58" s="126" t="s">
        <v>572</v>
      </c>
      <c r="D58" s="125" t="s">
        <v>482</v>
      </c>
      <c r="E58" s="127" t="s">
        <v>471</v>
      </c>
      <c r="F58" s="127">
        <f>(E59*F59)+(E60*F60)+(E61*F61)</f>
        <v>217.26740999999998</v>
      </c>
    </row>
    <row r="59" spans="1:6">
      <c r="A59" s="121" t="s">
        <v>486</v>
      </c>
      <c r="B59" s="121">
        <v>39636</v>
      </c>
      <c r="C59" s="120" t="s">
        <v>573</v>
      </c>
      <c r="D59" s="121" t="s">
        <v>482</v>
      </c>
      <c r="E59" s="122" t="s">
        <v>569</v>
      </c>
      <c r="F59" s="122">
        <v>200.72</v>
      </c>
    </row>
    <row r="60" spans="1:6">
      <c r="A60" s="121" t="s">
        <v>472</v>
      </c>
      <c r="B60" s="121" t="s">
        <v>518</v>
      </c>
      <c r="C60" s="120" t="s">
        <v>519</v>
      </c>
      <c r="D60" s="121" t="s">
        <v>475</v>
      </c>
      <c r="E60" s="122" t="s">
        <v>570</v>
      </c>
      <c r="F60" s="122">
        <f>F56</f>
        <v>29.53</v>
      </c>
    </row>
    <row r="61" spans="1:6">
      <c r="A61" s="121" t="s">
        <v>472</v>
      </c>
      <c r="B61" s="121" t="s">
        <v>477</v>
      </c>
      <c r="C61" s="120" t="s">
        <v>478</v>
      </c>
      <c r="D61" s="121" t="s">
        <v>475</v>
      </c>
      <c r="E61" s="122" t="s">
        <v>571</v>
      </c>
      <c r="F61" s="122">
        <f>F57</f>
        <v>21.91</v>
      </c>
    </row>
    <row r="62" spans="1:6" ht="31.5">
      <c r="A62" s="125"/>
      <c r="B62" s="125" t="s">
        <v>511</v>
      </c>
      <c r="C62" s="126" t="s">
        <v>574</v>
      </c>
      <c r="D62" s="125" t="s">
        <v>470</v>
      </c>
      <c r="E62" s="127" t="s">
        <v>471</v>
      </c>
      <c r="F62" s="127">
        <f>E63*F63</f>
        <v>110.7</v>
      </c>
    </row>
    <row r="63" spans="1:6" ht="31.5">
      <c r="A63" s="121" t="s">
        <v>472</v>
      </c>
      <c r="B63" s="121">
        <v>98576</v>
      </c>
      <c r="C63" s="120" t="s">
        <v>575</v>
      </c>
      <c r="D63" s="121" t="s">
        <v>470</v>
      </c>
      <c r="E63" s="123">
        <v>1</v>
      </c>
      <c r="F63" s="122">
        <v>110.7</v>
      </c>
    </row>
    <row r="64" spans="1:6" ht="31.5">
      <c r="A64" s="125"/>
      <c r="B64" s="125" t="s">
        <v>576</v>
      </c>
      <c r="C64" s="126" t="s">
        <v>577</v>
      </c>
      <c r="D64" s="125" t="s">
        <v>470</v>
      </c>
      <c r="E64" s="127" t="s">
        <v>471</v>
      </c>
      <c r="F64" s="127">
        <v>51.29</v>
      </c>
    </row>
    <row r="65" spans="1:6" ht="31.5">
      <c r="A65" s="121" t="s">
        <v>486</v>
      </c>
      <c r="B65" s="121" t="s">
        <v>578</v>
      </c>
      <c r="C65" s="120" t="s">
        <v>579</v>
      </c>
      <c r="D65" s="121" t="s">
        <v>534</v>
      </c>
      <c r="E65" s="122" t="s">
        <v>580</v>
      </c>
      <c r="F65" s="122" t="s">
        <v>471</v>
      </c>
    </row>
    <row r="66" spans="1:6" ht="31.5">
      <c r="A66" s="121" t="s">
        <v>486</v>
      </c>
      <c r="B66" s="121" t="s">
        <v>581</v>
      </c>
      <c r="C66" s="120" t="s">
        <v>582</v>
      </c>
      <c r="D66" s="121" t="s">
        <v>470</v>
      </c>
      <c r="E66" s="122" t="s">
        <v>569</v>
      </c>
      <c r="F66" s="122" t="s">
        <v>471</v>
      </c>
    </row>
    <row r="67" spans="1:6">
      <c r="A67" s="121" t="s">
        <v>472</v>
      </c>
      <c r="B67" s="121" t="s">
        <v>518</v>
      </c>
      <c r="C67" s="120" t="s">
        <v>519</v>
      </c>
      <c r="D67" s="121" t="s">
        <v>475</v>
      </c>
      <c r="E67" s="122" t="s">
        <v>583</v>
      </c>
      <c r="F67" s="122" t="s">
        <v>471</v>
      </c>
    </row>
    <row r="68" spans="1:6">
      <c r="A68" s="121" t="s">
        <v>472</v>
      </c>
      <c r="B68" s="121" t="s">
        <v>477</v>
      </c>
      <c r="C68" s="120" t="s">
        <v>478</v>
      </c>
      <c r="D68" s="121" t="s">
        <v>475</v>
      </c>
      <c r="E68" s="122" t="s">
        <v>529</v>
      </c>
      <c r="F68" s="122" t="s">
        <v>471</v>
      </c>
    </row>
    <row r="69" spans="1:6" ht="31.5">
      <c r="A69" s="135"/>
      <c r="B69" s="135">
        <v>101094</v>
      </c>
      <c r="C69" s="141" t="s">
        <v>584</v>
      </c>
      <c r="D69" s="135" t="s">
        <v>470</v>
      </c>
      <c r="E69" s="142"/>
      <c r="F69" s="127">
        <v>141.13999999999999</v>
      </c>
    </row>
    <row r="70" spans="1:6">
      <c r="A70" s="139" t="s">
        <v>486</v>
      </c>
      <c r="B70" s="139" t="s">
        <v>585</v>
      </c>
      <c r="C70" s="140" t="s">
        <v>586</v>
      </c>
      <c r="D70" s="139" t="s">
        <v>489</v>
      </c>
      <c r="E70" s="139" t="s">
        <v>587</v>
      </c>
      <c r="F70" s="118"/>
    </row>
    <row r="71" spans="1:6">
      <c r="A71" s="121" t="s">
        <v>486</v>
      </c>
      <c r="B71" s="121" t="s">
        <v>491</v>
      </c>
      <c r="C71" s="120" t="s">
        <v>492</v>
      </c>
      <c r="D71" s="121" t="s">
        <v>489</v>
      </c>
      <c r="E71" s="121" t="s">
        <v>588</v>
      </c>
      <c r="F71" s="118"/>
    </row>
    <row r="72" spans="1:6" ht="31.5">
      <c r="A72" s="121" t="s">
        <v>486</v>
      </c>
      <c r="B72" s="121" t="s">
        <v>589</v>
      </c>
      <c r="C72" s="120" t="s">
        <v>590</v>
      </c>
      <c r="D72" s="121" t="s">
        <v>482</v>
      </c>
      <c r="E72" s="121" t="s">
        <v>591</v>
      </c>
      <c r="F72" s="118"/>
    </row>
    <row r="73" spans="1:6">
      <c r="A73" s="121" t="s">
        <v>472</v>
      </c>
      <c r="B73" s="121" t="s">
        <v>518</v>
      </c>
      <c r="C73" s="120" t="s">
        <v>519</v>
      </c>
      <c r="D73" s="121" t="s">
        <v>475</v>
      </c>
      <c r="E73" s="121" t="s">
        <v>592</v>
      </c>
      <c r="F73" s="118"/>
    </row>
    <row r="74" spans="1:6">
      <c r="A74" s="154" t="s">
        <v>472</v>
      </c>
      <c r="B74" s="154" t="s">
        <v>477</v>
      </c>
      <c r="C74" s="155" t="s">
        <v>478</v>
      </c>
      <c r="D74" s="154" t="s">
        <v>475</v>
      </c>
      <c r="E74" s="154" t="s">
        <v>593</v>
      </c>
      <c r="F74" s="118"/>
    </row>
    <row r="75" spans="1:6" ht="47.25">
      <c r="A75" s="135"/>
      <c r="B75" s="135" t="s">
        <v>565</v>
      </c>
      <c r="C75" s="141" t="s">
        <v>594</v>
      </c>
      <c r="D75" s="135" t="s">
        <v>482</v>
      </c>
      <c r="E75" s="142"/>
      <c r="F75" s="127">
        <f>(E76*F76)+(E77*F77)+(E78*F78)+(E79*F79)</f>
        <v>139.578</v>
      </c>
    </row>
    <row r="76" spans="1:6">
      <c r="A76" s="121" t="s">
        <v>486</v>
      </c>
      <c r="B76" s="159">
        <v>43148</v>
      </c>
      <c r="C76" s="161" t="s">
        <v>595</v>
      </c>
      <c r="D76" s="159" t="s">
        <v>596</v>
      </c>
      <c r="E76" s="160">
        <v>1.6</v>
      </c>
      <c r="F76" s="82">
        <v>65.38</v>
      </c>
    </row>
    <row r="77" spans="1:6">
      <c r="A77" s="121" t="s">
        <v>486</v>
      </c>
      <c r="B77" s="159" t="s">
        <v>461</v>
      </c>
      <c r="C77" s="161" t="s">
        <v>597</v>
      </c>
      <c r="D77" s="159" t="s">
        <v>534</v>
      </c>
      <c r="E77" s="160">
        <v>0.1</v>
      </c>
      <c r="F77" s="82">
        <v>108.31</v>
      </c>
    </row>
    <row r="78" spans="1:6">
      <c r="A78" s="121" t="s">
        <v>472</v>
      </c>
      <c r="B78" s="159">
        <v>88243</v>
      </c>
      <c r="C78" s="161" t="s">
        <v>598</v>
      </c>
      <c r="D78" s="159" t="s">
        <v>475</v>
      </c>
      <c r="E78" s="160">
        <v>0.15</v>
      </c>
      <c r="F78" s="82">
        <v>23.12</v>
      </c>
    </row>
    <row r="79" spans="1:6">
      <c r="A79" s="121" t="s">
        <v>472</v>
      </c>
      <c r="B79" s="159">
        <v>88270</v>
      </c>
      <c r="C79" s="161" t="s">
        <v>599</v>
      </c>
      <c r="D79" s="159" t="s">
        <v>475</v>
      </c>
      <c r="E79" s="160">
        <v>0.7</v>
      </c>
      <c r="F79" s="82">
        <v>29.53</v>
      </c>
    </row>
    <row r="80" spans="1:6" ht="31.5">
      <c r="A80" s="135"/>
      <c r="B80" s="135" t="s">
        <v>600</v>
      </c>
      <c r="C80" s="136" t="s">
        <v>601</v>
      </c>
      <c r="D80" s="135" t="s">
        <v>482</v>
      </c>
      <c r="E80" s="137" t="s">
        <v>471</v>
      </c>
      <c r="F80" s="127">
        <v>67.42</v>
      </c>
    </row>
    <row r="81" spans="1:6">
      <c r="A81" s="80" t="s">
        <v>486</v>
      </c>
      <c r="B81" s="80" t="s">
        <v>602</v>
      </c>
      <c r="C81" s="81" t="s">
        <v>603</v>
      </c>
      <c r="D81" s="80" t="s">
        <v>489</v>
      </c>
      <c r="E81" s="82" t="s">
        <v>604</v>
      </c>
      <c r="F81" s="82" t="s">
        <v>471</v>
      </c>
    </row>
    <row r="82" spans="1:6" ht="31.5">
      <c r="A82" s="80" t="s">
        <v>486</v>
      </c>
      <c r="B82" s="80" t="s">
        <v>605</v>
      </c>
      <c r="C82" s="81" t="s">
        <v>606</v>
      </c>
      <c r="D82" s="80" t="s">
        <v>482</v>
      </c>
      <c r="E82" s="82" t="s">
        <v>607</v>
      </c>
      <c r="F82" s="82" t="s">
        <v>471</v>
      </c>
    </row>
    <row r="83" spans="1:6" ht="31.5">
      <c r="A83" s="80" t="s">
        <v>486</v>
      </c>
      <c r="B83" s="80" t="s">
        <v>608</v>
      </c>
      <c r="C83" s="81" t="s">
        <v>609</v>
      </c>
      <c r="D83" s="80" t="s">
        <v>470</v>
      </c>
      <c r="E83" s="82" t="s">
        <v>610</v>
      </c>
      <c r="F83" s="82" t="s">
        <v>471</v>
      </c>
    </row>
    <row r="84" spans="1:6" ht="47.25">
      <c r="A84" s="80" t="s">
        <v>486</v>
      </c>
      <c r="B84" s="80" t="s">
        <v>611</v>
      </c>
      <c r="C84" s="81" t="s">
        <v>612</v>
      </c>
      <c r="D84" s="80" t="s">
        <v>541</v>
      </c>
      <c r="E84" s="82" t="s">
        <v>613</v>
      </c>
      <c r="F84" s="82" t="s">
        <v>471</v>
      </c>
    </row>
    <row r="85" spans="1:6" ht="31.5">
      <c r="A85" s="80" t="s">
        <v>486</v>
      </c>
      <c r="B85" s="80" t="s">
        <v>614</v>
      </c>
      <c r="C85" s="81" t="s">
        <v>615</v>
      </c>
      <c r="D85" s="80" t="s">
        <v>470</v>
      </c>
      <c r="E85" s="82" t="s">
        <v>616</v>
      </c>
      <c r="F85" s="82" t="s">
        <v>471</v>
      </c>
    </row>
    <row r="86" spans="1:6" ht="47.25">
      <c r="A86" s="80" t="s">
        <v>486</v>
      </c>
      <c r="B86" s="80" t="s">
        <v>617</v>
      </c>
      <c r="C86" s="81" t="s">
        <v>618</v>
      </c>
      <c r="D86" s="80" t="s">
        <v>489</v>
      </c>
      <c r="E86" s="82" t="s">
        <v>619</v>
      </c>
      <c r="F86" s="82" t="s">
        <v>471</v>
      </c>
    </row>
    <row r="87" spans="1:6" ht="31.5">
      <c r="A87" s="80" t="s">
        <v>486</v>
      </c>
      <c r="B87" s="80" t="s">
        <v>620</v>
      </c>
      <c r="C87" s="81" t="s">
        <v>621</v>
      </c>
      <c r="D87" s="80" t="s">
        <v>541</v>
      </c>
      <c r="E87" s="82" t="s">
        <v>622</v>
      </c>
      <c r="F87" s="82" t="s">
        <v>471</v>
      </c>
    </row>
    <row r="88" spans="1:6" ht="31.5">
      <c r="A88" s="80" t="s">
        <v>486</v>
      </c>
      <c r="B88" s="80" t="s">
        <v>623</v>
      </c>
      <c r="C88" s="81" t="s">
        <v>624</v>
      </c>
      <c r="D88" s="80" t="s">
        <v>541</v>
      </c>
      <c r="E88" s="82" t="s">
        <v>625</v>
      </c>
      <c r="F88" s="82" t="s">
        <v>471</v>
      </c>
    </row>
    <row r="89" spans="1:6">
      <c r="A89" s="80" t="s">
        <v>486</v>
      </c>
      <c r="B89" s="80" t="s">
        <v>626</v>
      </c>
      <c r="C89" s="81" t="s">
        <v>627</v>
      </c>
      <c r="D89" s="80" t="s">
        <v>628</v>
      </c>
      <c r="E89" s="82" t="s">
        <v>629</v>
      </c>
      <c r="F89" s="82" t="s">
        <v>471</v>
      </c>
    </row>
    <row r="90" spans="1:6">
      <c r="A90" s="80" t="s">
        <v>472</v>
      </c>
      <c r="B90" s="80" t="s">
        <v>630</v>
      </c>
      <c r="C90" s="81" t="s">
        <v>631</v>
      </c>
      <c r="D90" s="80" t="s">
        <v>475</v>
      </c>
      <c r="E90" s="82" t="s">
        <v>632</v>
      </c>
      <c r="F90" s="82" t="s">
        <v>471</v>
      </c>
    </row>
    <row r="91" spans="1:6">
      <c r="A91" s="80" t="s">
        <v>472</v>
      </c>
      <c r="B91" s="80" t="s">
        <v>477</v>
      </c>
      <c r="C91" s="81" t="s">
        <v>478</v>
      </c>
      <c r="D91" s="80" t="s">
        <v>475</v>
      </c>
      <c r="E91" s="82" t="s">
        <v>632</v>
      </c>
      <c r="F91" s="82" t="s">
        <v>471</v>
      </c>
    </row>
    <row r="92" spans="1:6" ht="31.5">
      <c r="A92" s="135"/>
      <c r="B92" s="135">
        <v>96116</v>
      </c>
      <c r="C92" s="136" t="s">
        <v>633</v>
      </c>
      <c r="D92" s="135" t="s">
        <v>482</v>
      </c>
      <c r="E92" s="137" t="s">
        <v>471</v>
      </c>
      <c r="F92" s="127">
        <v>63.08</v>
      </c>
    </row>
    <row r="93" spans="1:6" ht="31.5">
      <c r="A93" s="80" t="s">
        <v>486</v>
      </c>
      <c r="B93" s="80" t="s">
        <v>634</v>
      </c>
      <c r="C93" s="81" t="s">
        <v>635</v>
      </c>
      <c r="D93" s="80" t="s">
        <v>482</v>
      </c>
      <c r="E93" s="80" t="s">
        <v>636</v>
      </c>
      <c r="F93" s="82"/>
    </row>
    <row r="94" spans="1:6" ht="31.5">
      <c r="A94" s="80" t="s">
        <v>486</v>
      </c>
      <c r="B94" s="80" t="s">
        <v>608</v>
      </c>
      <c r="C94" s="81" t="s">
        <v>609</v>
      </c>
      <c r="D94" s="80" t="s">
        <v>470</v>
      </c>
      <c r="E94" s="80" t="s">
        <v>637</v>
      </c>
      <c r="F94" s="82"/>
    </row>
    <row r="95" spans="1:6" ht="47.25">
      <c r="A95" s="80" t="s">
        <v>486</v>
      </c>
      <c r="B95" s="80" t="s">
        <v>611</v>
      </c>
      <c r="C95" s="81" t="s">
        <v>612</v>
      </c>
      <c r="D95" s="80" t="s">
        <v>541</v>
      </c>
      <c r="E95" s="80" t="s">
        <v>613</v>
      </c>
      <c r="F95" s="82"/>
    </row>
    <row r="96" spans="1:6" ht="31.5">
      <c r="A96" s="80" t="s">
        <v>486</v>
      </c>
      <c r="B96" s="80" t="s">
        <v>623</v>
      </c>
      <c r="C96" s="81" t="s">
        <v>624</v>
      </c>
      <c r="D96" s="80" t="s">
        <v>541</v>
      </c>
      <c r="E96" s="80" t="s">
        <v>625</v>
      </c>
      <c r="F96" s="82"/>
    </row>
    <row r="97" spans="1:6">
      <c r="A97" s="80" t="s">
        <v>486</v>
      </c>
      <c r="B97" s="80" t="s">
        <v>626</v>
      </c>
      <c r="C97" s="81" t="s">
        <v>638</v>
      </c>
      <c r="D97" s="80" t="s">
        <v>628</v>
      </c>
      <c r="E97" s="80" t="s">
        <v>629</v>
      </c>
      <c r="F97" s="82"/>
    </row>
    <row r="98" spans="1:6" ht="31.5">
      <c r="A98" s="80" t="s">
        <v>486</v>
      </c>
      <c r="B98" s="80" t="s">
        <v>639</v>
      </c>
      <c r="C98" s="81" t="s">
        <v>640</v>
      </c>
      <c r="D98" s="80" t="s">
        <v>628</v>
      </c>
      <c r="E98" s="80" t="s">
        <v>641</v>
      </c>
      <c r="F98" s="82"/>
    </row>
    <row r="99" spans="1:6" ht="31.5">
      <c r="A99" s="80" t="s">
        <v>486</v>
      </c>
      <c r="B99" s="80" t="s">
        <v>642</v>
      </c>
      <c r="C99" s="81" t="s">
        <v>643</v>
      </c>
      <c r="D99" s="80" t="s">
        <v>489</v>
      </c>
      <c r="E99" s="80" t="s">
        <v>604</v>
      </c>
      <c r="F99" s="82"/>
    </row>
    <row r="100" spans="1:6">
      <c r="A100" s="80" t="s">
        <v>472</v>
      </c>
      <c r="B100" s="80" t="s">
        <v>630</v>
      </c>
      <c r="C100" s="81" t="s">
        <v>631</v>
      </c>
      <c r="D100" s="80" t="s">
        <v>475</v>
      </c>
      <c r="E100" s="80" t="s">
        <v>644</v>
      </c>
      <c r="F100" s="82"/>
    </row>
    <row r="101" spans="1:6" ht="31.5">
      <c r="A101" s="135"/>
      <c r="B101" s="135">
        <v>96121</v>
      </c>
      <c r="C101" s="136" t="s">
        <v>645</v>
      </c>
      <c r="D101" s="135" t="s">
        <v>470</v>
      </c>
      <c r="E101" s="135"/>
      <c r="F101" s="135">
        <v>11.83</v>
      </c>
    </row>
    <row r="102" spans="1:6" ht="31.5">
      <c r="A102" s="80" t="s">
        <v>486</v>
      </c>
      <c r="B102" s="80" t="s">
        <v>646</v>
      </c>
      <c r="C102" s="81" t="s">
        <v>647</v>
      </c>
      <c r="D102" s="80" t="s">
        <v>470</v>
      </c>
      <c r="E102" s="80" t="s">
        <v>648</v>
      </c>
      <c r="F102" s="82"/>
    </row>
    <row r="103" spans="1:6" ht="31.5">
      <c r="A103" s="80" t="s">
        <v>486</v>
      </c>
      <c r="B103" s="80" t="s">
        <v>623</v>
      </c>
      <c r="C103" s="81" t="s">
        <v>624</v>
      </c>
      <c r="D103" s="80" t="s">
        <v>541</v>
      </c>
      <c r="E103" s="80" t="s">
        <v>649</v>
      </c>
      <c r="F103" s="82"/>
    </row>
    <row r="104" spans="1:6" ht="31.5">
      <c r="A104" s="80" t="s">
        <v>486</v>
      </c>
      <c r="B104" s="80" t="s">
        <v>639</v>
      </c>
      <c r="C104" s="81" t="s">
        <v>640</v>
      </c>
      <c r="D104" s="80" t="s">
        <v>628</v>
      </c>
      <c r="E104" s="80" t="s">
        <v>650</v>
      </c>
      <c r="F104" s="82"/>
    </row>
    <row r="105" spans="1:6">
      <c r="A105" s="80" t="s">
        <v>472</v>
      </c>
      <c r="B105" s="80" t="s">
        <v>630</v>
      </c>
      <c r="C105" s="81" t="s">
        <v>631</v>
      </c>
      <c r="D105" s="80" t="s">
        <v>475</v>
      </c>
      <c r="E105" s="80" t="s">
        <v>651</v>
      </c>
      <c r="F105" s="82"/>
    </row>
    <row r="106" spans="1:6" ht="31.5">
      <c r="A106" s="135"/>
      <c r="B106" s="135" t="s">
        <v>565</v>
      </c>
      <c r="C106" s="136" t="s">
        <v>652</v>
      </c>
      <c r="D106" s="135" t="s">
        <v>482</v>
      </c>
      <c r="E106" s="137" t="s">
        <v>471</v>
      </c>
      <c r="F106" s="127">
        <f>(E107*F107)+(E108*F108)+(E109*F109)</f>
        <v>4.5439999999999996</v>
      </c>
    </row>
    <row r="107" spans="1:6">
      <c r="A107" s="80" t="s">
        <v>486</v>
      </c>
      <c r="B107" s="80">
        <v>44396</v>
      </c>
      <c r="C107" s="81" t="s">
        <v>653</v>
      </c>
      <c r="D107" s="80" t="s">
        <v>489</v>
      </c>
      <c r="E107" s="85">
        <v>0.1</v>
      </c>
      <c r="F107" s="82">
        <v>45.44</v>
      </c>
    </row>
    <row r="108" spans="1:6">
      <c r="A108" s="80" t="s">
        <v>472</v>
      </c>
      <c r="B108" s="80" t="s">
        <v>654</v>
      </c>
      <c r="C108" s="81" t="s">
        <v>655</v>
      </c>
      <c r="D108" s="80" t="s">
        <v>475</v>
      </c>
      <c r="E108" s="85">
        <v>0.5</v>
      </c>
      <c r="F108" s="82">
        <f>F93</f>
        <v>0</v>
      </c>
    </row>
    <row r="109" spans="1:6">
      <c r="A109" s="80" t="s">
        <v>472</v>
      </c>
      <c r="B109" s="80" t="s">
        <v>477</v>
      </c>
      <c r="C109" s="81" t="s">
        <v>478</v>
      </c>
      <c r="D109" s="80" t="s">
        <v>475</v>
      </c>
      <c r="E109" s="85">
        <v>0.8</v>
      </c>
      <c r="F109" s="82">
        <f>F100</f>
        <v>0</v>
      </c>
    </row>
    <row r="110" spans="1:6">
      <c r="A110" s="135"/>
      <c r="B110" s="135">
        <v>96358</v>
      </c>
      <c r="C110" s="136" t="s">
        <v>656</v>
      </c>
      <c r="D110" s="135" t="s">
        <v>482</v>
      </c>
      <c r="E110" s="137" t="s">
        <v>471</v>
      </c>
      <c r="F110" s="127">
        <v>85.22</v>
      </c>
    </row>
    <row r="111" spans="1:6" ht="31.5">
      <c r="A111" s="80" t="s">
        <v>486</v>
      </c>
      <c r="B111" s="80" t="s">
        <v>657</v>
      </c>
      <c r="C111" s="81" t="s">
        <v>658</v>
      </c>
      <c r="D111" s="80" t="s">
        <v>628</v>
      </c>
      <c r="E111" s="82" t="s">
        <v>659</v>
      </c>
      <c r="F111" s="82"/>
    </row>
    <row r="112" spans="1:6" ht="31.5">
      <c r="A112" s="80" t="s">
        <v>486</v>
      </c>
      <c r="B112" s="80" t="s">
        <v>605</v>
      </c>
      <c r="C112" s="81" t="s">
        <v>606</v>
      </c>
      <c r="D112" s="80" t="s">
        <v>482</v>
      </c>
      <c r="E112" s="82" t="s">
        <v>660</v>
      </c>
      <c r="F112" s="82"/>
    </row>
    <row r="113" spans="1:6" ht="31.5">
      <c r="A113" s="80" t="s">
        <v>486</v>
      </c>
      <c r="B113" s="80" t="s">
        <v>661</v>
      </c>
      <c r="C113" s="81" t="s">
        <v>662</v>
      </c>
      <c r="D113" s="80" t="s">
        <v>470</v>
      </c>
      <c r="E113" s="82" t="s">
        <v>663</v>
      </c>
      <c r="F113" s="82"/>
    </row>
    <row r="114" spans="1:6" ht="31.5">
      <c r="A114" s="80" t="s">
        <v>486</v>
      </c>
      <c r="B114" s="80" t="s">
        <v>664</v>
      </c>
      <c r="C114" s="81" t="s">
        <v>665</v>
      </c>
      <c r="D114" s="80" t="s">
        <v>470</v>
      </c>
      <c r="E114" s="82" t="s">
        <v>666</v>
      </c>
      <c r="F114" s="82"/>
    </row>
    <row r="115" spans="1:6" ht="31.5">
      <c r="A115" s="80" t="s">
        <v>486</v>
      </c>
      <c r="B115" s="80" t="s">
        <v>667</v>
      </c>
      <c r="C115" s="81" t="s">
        <v>668</v>
      </c>
      <c r="D115" s="80" t="s">
        <v>470</v>
      </c>
      <c r="E115" s="82" t="s">
        <v>669</v>
      </c>
      <c r="F115" s="82"/>
    </row>
    <row r="116" spans="1:6" ht="31.5">
      <c r="A116" s="80" t="s">
        <v>486</v>
      </c>
      <c r="B116" s="80" t="s">
        <v>614</v>
      </c>
      <c r="C116" s="81" t="s">
        <v>615</v>
      </c>
      <c r="D116" s="80" t="s">
        <v>470</v>
      </c>
      <c r="E116" s="82" t="s">
        <v>670</v>
      </c>
      <c r="F116" s="82"/>
    </row>
    <row r="117" spans="1:6" ht="47.25">
      <c r="A117" s="80" t="s">
        <v>486</v>
      </c>
      <c r="B117" s="80" t="s">
        <v>617</v>
      </c>
      <c r="C117" s="81" t="s">
        <v>618</v>
      </c>
      <c r="D117" s="80" t="s">
        <v>489</v>
      </c>
      <c r="E117" s="82" t="s">
        <v>671</v>
      </c>
      <c r="F117" s="82"/>
    </row>
    <row r="118" spans="1:6" ht="31.5">
      <c r="A118" s="80" t="s">
        <v>486</v>
      </c>
      <c r="B118" s="80" t="s">
        <v>620</v>
      </c>
      <c r="C118" s="81" t="s">
        <v>621</v>
      </c>
      <c r="D118" s="80" t="s">
        <v>541</v>
      </c>
      <c r="E118" s="82" t="s">
        <v>672</v>
      </c>
      <c r="F118" s="82"/>
    </row>
    <row r="119" spans="1:6" ht="31.5">
      <c r="A119" s="80" t="s">
        <v>486</v>
      </c>
      <c r="B119" s="80" t="s">
        <v>623</v>
      </c>
      <c r="C119" s="81" t="s">
        <v>624</v>
      </c>
      <c r="D119" s="80" t="s">
        <v>541</v>
      </c>
      <c r="E119" s="82" t="s">
        <v>673</v>
      </c>
      <c r="F119" s="82"/>
    </row>
    <row r="120" spans="1:6">
      <c r="A120" s="80" t="s">
        <v>472</v>
      </c>
      <c r="B120" s="80" t="s">
        <v>630</v>
      </c>
      <c r="C120" s="81" t="s">
        <v>631</v>
      </c>
      <c r="D120" s="80" t="s">
        <v>475</v>
      </c>
      <c r="E120" s="82" t="s">
        <v>674</v>
      </c>
      <c r="F120" s="82"/>
    </row>
    <row r="121" spans="1:6">
      <c r="A121" s="80" t="s">
        <v>472</v>
      </c>
      <c r="B121" s="80" t="s">
        <v>477</v>
      </c>
      <c r="C121" s="81" t="s">
        <v>478</v>
      </c>
      <c r="D121" s="80" t="s">
        <v>475</v>
      </c>
      <c r="E121" s="82" t="s">
        <v>675</v>
      </c>
      <c r="F121" s="82"/>
    </row>
    <row r="122" spans="1:6" ht="31.5">
      <c r="A122" s="135"/>
      <c r="B122" s="135" t="s">
        <v>676</v>
      </c>
      <c r="C122" s="136" t="s">
        <v>677</v>
      </c>
      <c r="D122" s="135" t="s">
        <v>482</v>
      </c>
      <c r="E122" s="137" t="s">
        <v>471</v>
      </c>
      <c r="F122" s="127">
        <v>25.21</v>
      </c>
    </row>
    <row r="123" spans="1:6">
      <c r="A123" s="80" t="s">
        <v>486</v>
      </c>
      <c r="B123" s="80" t="s">
        <v>678</v>
      </c>
      <c r="C123" s="81" t="s">
        <v>679</v>
      </c>
      <c r="D123" s="80" t="s">
        <v>489</v>
      </c>
      <c r="E123" s="82" t="s">
        <v>680</v>
      </c>
      <c r="F123" s="82" t="s">
        <v>471</v>
      </c>
    </row>
    <row r="124" spans="1:6">
      <c r="A124" s="80" t="s">
        <v>472</v>
      </c>
      <c r="B124" s="80" t="s">
        <v>546</v>
      </c>
      <c r="C124" s="81" t="s">
        <v>547</v>
      </c>
      <c r="D124" s="80" t="s">
        <v>475</v>
      </c>
      <c r="E124" s="82" t="s">
        <v>681</v>
      </c>
      <c r="F124" s="82" t="s">
        <v>471</v>
      </c>
    </row>
    <row r="125" spans="1:6">
      <c r="A125" s="80" t="s">
        <v>472</v>
      </c>
      <c r="B125" s="80" t="s">
        <v>477</v>
      </c>
      <c r="C125" s="81" t="s">
        <v>478</v>
      </c>
      <c r="D125" s="80" t="s">
        <v>475</v>
      </c>
      <c r="E125" s="82" t="s">
        <v>682</v>
      </c>
      <c r="F125" s="82" t="s">
        <v>471</v>
      </c>
    </row>
    <row r="126" spans="1:6" ht="18.75" customHeight="1">
      <c r="A126" s="135"/>
      <c r="B126" s="135" t="s">
        <v>683</v>
      </c>
      <c r="C126" s="136" t="s">
        <v>684</v>
      </c>
      <c r="D126" s="135" t="s">
        <v>482</v>
      </c>
      <c r="E126" s="137" t="s">
        <v>471</v>
      </c>
      <c r="F126" s="127">
        <v>33.53</v>
      </c>
    </row>
    <row r="127" spans="1:6">
      <c r="A127" s="80" t="s">
        <v>486</v>
      </c>
      <c r="B127" s="80" t="s">
        <v>685</v>
      </c>
      <c r="C127" s="81" t="s">
        <v>686</v>
      </c>
      <c r="D127" s="80" t="s">
        <v>541</v>
      </c>
      <c r="E127" s="82" t="s">
        <v>687</v>
      </c>
      <c r="F127" s="82" t="s">
        <v>471</v>
      </c>
    </row>
    <row r="128" spans="1:6">
      <c r="A128" s="80" t="s">
        <v>486</v>
      </c>
      <c r="B128" s="80" t="s">
        <v>688</v>
      </c>
      <c r="C128" s="81" t="s">
        <v>689</v>
      </c>
      <c r="D128" s="80" t="s">
        <v>690</v>
      </c>
      <c r="E128" s="82" t="s">
        <v>691</v>
      </c>
      <c r="F128" s="82" t="s">
        <v>471</v>
      </c>
    </row>
    <row r="129" spans="1:6">
      <c r="A129" s="80" t="s">
        <v>472</v>
      </c>
      <c r="B129" s="80" t="s">
        <v>546</v>
      </c>
      <c r="C129" s="81" t="s">
        <v>547</v>
      </c>
      <c r="D129" s="80" t="s">
        <v>475</v>
      </c>
      <c r="E129" s="82" t="s">
        <v>692</v>
      </c>
      <c r="F129" s="82" t="s">
        <v>471</v>
      </c>
    </row>
    <row r="130" spans="1:6">
      <c r="A130" s="80" t="s">
        <v>472</v>
      </c>
      <c r="B130" s="80" t="s">
        <v>477</v>
      </c>
      <c r="C130" s="81" t="s">
        <v>478</v>
      </c>
      <c r="D130" s="80" t="s">
        <v>475</v>
      </c>
      <c r="E130" s="82" t="s">
        <v>693</v>
      </c>
      <c r="F130" s="82"/>
    </row>
    <row r="131" spans="1:6" ht="19.5" customHeight="1">
      <c r="A131" s="135"/>
      <c r="B131" s="135" t="s">
        <v>694</v>
      </c>
      <c r="C131" s="136" t="s">
        <v>695</v>
      </c>
      <c r="D131" s="135" t="s">
        <v>482</v>
      </c>
      <c r="E131" s="137" t="s">
        <v>471</v>
      </c>
      <c r="F131" s="127">
        <v>19.04</v>
      </c>
    </row>
    <row r="132" spans="1:6">
      <c r="A132" s="80" t="s">
        <v>486</v>
      </c>
      <c r="B132" s="80" t="s">
        <v>685</v>
      </c>
      <c r="C132" s="81" t="s">
        <v>686</v>
      </c>
      <c r="D132" s="80" t="s">
        <v>541</v>
      </c>
      <c r="E132" s="82" t="s">
        <v>687</v>
      </c>
      <c r="F132" s="82" t="s">
        <v>471</v>
      </c>
    </row>
    <row r="133" spans="1:6" ht="19.5" customHeight="1">
      <c r="A133" s="80" t="s">
        <v>486</v>
      </c>
      <c r="B133" s="80" t="s">
        <v>688</v>
      </c>
      <c r="C133" s="81" t="s">
        <v>689</v>
      </c>
      <c r="D133" s="80" t="s">
        <v>690</v>
      </c>
      <c r="E133" s="82" t="s">
        <v>691</v>
      </c>
      <c r="F133" s="82" t="s">
        <v>471</v>
      </c>
    </row>
    <row r="134" spans="1:6">
      <c r="A134" s="80" t="s">
        <v>472</v>
      </c>
      <c r="B134" s="80" t="s">
        <v>546</v>
      </c>
      <c r="C134" s="81" t="s">
        <v>547</v>
      </c>
      <c r="D134" s="80" t="s">
        <v>475</v>
      </c>
      <c r="E134" s="82" t="s">
        <v>696</v>
      </c>
      <c r="F134" s="82" t="s">
        <v>471</v>
      </c>
    </row>
    <row r="135" spans="1:6" ht="17.25" customHeight="1">
      <c r="A135" s="80" t="s">
        <v>472</v>
      </c>
      <c r="B135" s="80" t="s">
        <v>477</v>
      </c>
      <c r="C135" s="81" t="s">
        <v>478</v>
      </c>
      <c r="D135" s="80" t="s">
        <v>475</v>
      </c>
      <c r="E135" s="82" t="s">
        <v>697</v>
      </c>
      <c r="F135" s="82" t="s">
        <v>471</v>
      </c>
    </row>
    <row r="136" spans="1:6" ht="31.5">
      <c r="A136" s="135"/>
      <c r="B136" s="135" t="s">
        <v>698</v>
      </c>
      <c r="C136" s="136" t="s">
        <v>699</v>
      </c>
      <c r="D136" s="135" t="s">
        <v>482</v>
      </c>
      <c r="E136" s="137" t="s">
        <v>471</v>
      </c>
      <c r="F136" s="127">
        <v>15.65</v>
      </c>
    </row>
    <row r="137" spans="1:6">
      <c r="A137" s="80" t="s">
        <v>486</v>
      </c>
      <c r="B137" s="80" t="s">
        <v>700</v>
      </c>
      <c r="C137" s="81" t="s">
        <v>701</v>
      </c>
      <c r="D137" s="80" t="s">
        <v>534</v>
      </c>
      <c r="E137" s="82" t="s">
        <v>702</v>
      </c>
      <c r="F137" s="82" t="s">
        <v>471</v>
      </c>
    </row>
    <row r="138" spans="1:6" ht="34.5" customHeight="1">
      <c r="A138" s="80" t="s">
        <v>472</v>
      </c>
      <c r="B138" s="80" t="s">
        <v>546</v>
      </c>
      <c r="C138" s="81" t="s">
        <v>547</v>
      </c>
      <c r="D138" s="80" t="s">
        <v>475</v>
      </c>
      <c r="E138" s="82" t="s">
        <v>703</v>
      </c>
      <c r="F138" s="82" t="s">
        <v>471</v>
      </c>
    </row>
    <row r="139" spans="1:6">
      <c r="A139" s="80" t="s">
        <v>472</v>
      </c>
      <c r="B139" s="80" t="s">
        <v>477</v>
      </c>
      <c r="C139" s="81" t="s">
        <v>478</v>
      </c>
      <c r="D139" s="80" t="s">
        <v>475</v>
      </c>
      <c r="E139" s="82" t="s">
        <v>704</v>
      </c>
      <c r="F139" s="82" t="s">
        <v>471</v>
      </c>
    </row>
    <row r="140" spans="1:6" ht="31.5">
      <c r="A140" s="135"/>
      <c r="B140" s="135" t="s">
        <v>705</v>
      </c>
      <c r="C140" s="136" t="s">
        <v>706</v>
      </c>
      <c r="D140" s="135" t="s">
        <v>482</v>
      </c>
      <c r="E140" s="137" t="s">
        <v>471</v>
      </c>
      <c r="F140" s="127">
        <v>13.23</v>
      </c>
    </row>
    <row r="141" spans="1:6" ht="21" customHeight="1">
      <c r="A141" s="80" t="s">
        <v>486</v>
      </c>
      <c r="B141" s="80" t="s">
        <v>700</v>
      </c>
      <c r="C141" s="81" t="s">
        <v>707</v>
      </c>
      <c r="D141" s="80" t="s">
        <v>534</v>
      </c>
      <c r="E141" s="82" t="s">
        <v>702</v>
      </c>
      <c r="F141" s="82"/>
    </row>
    <row r="142" spans="1:6">
      <c r="A142" s="80" t="s">
        <v>472</v>
      </c>
      <c r="B142" s="80" t="s">
        <v>546</v>
      </c>
      <c r="C142" s="81" t="s">
        <v>547</v>
      </c>
      <c r="D142" s="80" t="s">
        <v>475</v>
      </c>
      <c r="E142" s="82" t="s">
        <v>708</v>
      </c>
      <c r="F142" s="82"/>
    </row>
    <row r="143" spans="1:6">
      <c r="A143" s="80" t="s">
        <v>472</v>
      </c>
      <c r="B143" s="80" t="s">
        <v>477</v>
      </c>
      <c r="C143" s="81" t="s">
        <v>478</v>
      </c>
      <c r="D143" s="80" t="s">
        <v>475</v>
      </c>
      <c r="E143" s="82" t="s">
        <v>709</v>
      </c>
      <c r="F143" s="82"/>
    </row>
    <row r="144" spans="1:6" ht="31.5">
      <c r="A144" s="135"/>
      <c r="B144" s="135" t="s">
        <v>565</v>
      </c>
      <c r="C144" s="136" t="s">
        <v>710</v>
      </c>
      <c r="D144" s="135" t="s">
        <v>482</v>
      </c>
      <c r="E144" s="137" t="s">
        <v>471</v>
      </c>
      <c r="F144" s="127">
        <v>18.329999999999998</v>
      </c>
    </row>
    <row r="145" spans="1:6">
      <c r="A145" s="80" t="s">
        <v>486</v>
      </c>
      <c r="B145" s="80" t="s">
        <v>685</v>
      </c>
      <c r="C145" s="81" t="s">
        <v>686</v>
      </c>
      <c r="D145" s="80" t="s">
        <v>541</v>
      </c>
      <c r="E145" s="82" t="s">
        <v>711</v>
      </c>
      <c r="F145" s="82">
        <v>1.32</v>
      </c>
    </row>
    <row r="146" spans="1:6">
      <c r="A146" s="80" t="s">
        <v>486</v>
      </c>
      <c r="B146" s="80" t="s">
        <v>712</v>
      </c>
      <c r="C146" s="81" t="s">
        <v>713</v>
      </c>
      <c r="D146" s="80" t="s">
        <v>534</v>
      </c>
      <c r="E146" s="82" t="s">
        <v>714</v>
      </c>
      <c r="F146" s="82">
        <v>17.98</v>
      </c>
    </row>
    <row r="147" spans="1:6">
      <c r="A147" s="80" t="s">
        <v>486</v>
      </c>
      <c r="B147" s="80" t="s">
        <v>715</v>
      </c>
      <c r="C147" s="81" t="s">
        <v>716</v>
      </c>
      <c r="D147" s="80" t="s">
        <v>534</v>
      </c>
      <c r="E147" s="82" t="s">
        <v>561</v>
      </c>
      <c r="F147" s="82">
        <v>45.61</v>
      </c>
    </row>
    <row r="148" spans="1:6">
      <c r="A148" s="80" t="s">
        <v>472</v>
      </c>
      <c r="B148" s="80" t="s">
        <v>546</v>
      </c>
      <c r="C148" s="81" t="s">
        <v>547</v>
      </c>
      <c r="D148" s="80" t="s">
        <v>475</v>
      </c>
      <c r="E148" s="82" t="s">
        <v>711</v>
      </c>
      <c r="F148" s="82">
        <v>30.74</v>
      </c>
    </row>
    <row r="149" spans="1:6">
      <c r="A149" s="80" t="s">
        <v>472</v>
      </c>
      <c r="B149" s="80" t="s">
        <v>477</v>
      </c>
      <c r="C149" s="81" t="s">
        <v>478</v>
      </c>
      <c r="D149" s="80" t="s">
        <v>475</v>
      </c>
      <c r="E149" s="82" t="s">
        <v>717</v>
      </c>
      <c r="F149" s="82">
        <v>21.91</v>
      </c>
    </row>
    <row r="150" spans="1:6">
      <c r="A150" s="135"/>
      <c r="B150" s="135" t="s">
        <v>565</v>
      </c>
      <c r="C150" s="136" t="s">
        <v>718</v>
      </c>
      <c r="D150" s="135" t="s">
        <v>482</v>
      </c>
      <c r="E150" s="137" t="s">
        <v>471</v>
      </c>
      <c r="F150" s="127">
        <f>(E151*F151)+(E152*F152)+(E153*F153)+(E154*F154)+(E155*F155)</f>
        <v>30.245564000000002</v>
      </c>
    </row>
    <row r="151" spans="1:6">
      <c r="A151" s="80" t="s">
        <v>486</v>
      </c>
      <c r="B151" s="80" t="s">
        <v>685</v>
      </c>
      <c r="C151" s="81" t="s">
        <v>686</v>
      </c>
      <c r="D151" s="80" t="s">
        <v>541</v>
      </c>
      <c r="E151" s="82" t="s">
        <v>569</v>
      </c>
      <c r="F151" s="82">
        <f>F145</f>
        <v>1.32</v>
      </c>
    </row>
    <row r="152" spans="1:6">
      <c r="A152" s="80" t="s">
        <v>486</v>
      </c>
      <c r="B152" s="80" t="s">
        <v>712</v>
      </c>
      <c r="C152" s="81" t="s">
        <v>713</v>
      </c>
      <c r="D152" s="80" t="s">
        <v>534</v>
      </c>
      <c r="E152" s="82" t="s">
        <v>719</v>
      </c>
      <c r="F152" s="82">
        <f t="shared" ref="F152:F155" si="0">F146</f>
        <v>17.98</v>
      </c>
    </row>
    <row r="153" spans="1:6" ht="31.5">
      <c r="A153" s="80" t="s">
        <v>486</v>
      </c>
      <c r="B153" s="80" t="s">
        <v>720</v>
      </c>
      <c r="C153" s="81" t="s">
        <v>721</v>
      </c>
      <c r="D153" s="80" t="s">
        <v>534</v>
      </c>
      <c r="E153" s="82" t="s">
        <v>498</v>
      </c>
      <c r="F153" s="82">
        <v>34.130000000000003</v>
      </c>
    </row>
    <row r="154" spans="1:6">
      <c r="A154" s="80" t="s">
        <v>472</v>
      </c>
      <c r="B154" s="80" t="s">
        <v>546</v>
      </c>
      <c r="C154" s="81" t="s">
        <v>547</v>
      </c>
      <c r="D154" s="80" t="s">
        <v>475</v>
      </c>
      <c r="E154" s="82" t="s">
        <v>711</v>
      </c>
      <c r="F154" s="82">
        <f t="shared" si="0"/>
        <v>30.74</v>
      </c>
    </row>
    <row r="155" spans="1:6">
      <c r="A155" s="80" t="s">
        <v>472</v>
      </c>
      <c r="B155" s="80" t="s">
        <v>477</v>
      </c>
      <c r="C155" s="81" t="s">
        <v>478</v>
      </c>
      <c r="D155" s="80" t="s">
        <v>475</v>
      </c>
      <c r="E155" s="82" t="s">
        <v>722</v>
      </c>
      <c r="F155" s="82">
        <f t="shared" si="0"/>
        <v>21.91</v>
      </c>
    </row>
    <row r="156" spans="1:6" ht="31.5">
      <c r="A156" s="135"/>
      <c r="B156" s="135" t="s">
        <v>565</v>
      </c>
      <c r="C156" s="136" t="s">
        <v>723</v>
      </c>
      <c r="D156" s="135" t="s">
        <v>482</v>
      </c>
      <c r="E156" s="137" t="s">
        <v>471</v>
      </c>
      <c r="F156" s="127">
        <f>(E157*F157)+(E158*F158)+(E159*F159)+(E160*F160)+(E161*F161)</f>
        <v>50.063000000000002</v>
      </c>
    </row>
    <row r="157" spans="1:6" ht="21" customHeight="1">
      <c r="A157" s="80" t="s">
        <v>486</v>
      </c>
      <c r="B157" s="80" t="s">
        <v>724</v>
      </c>
      <c r="C157" s="81" t="s">
        <v>725</v>
      </c>
      <c r="D157" s="80" t="s">
        <v>541</v>
      </c>
      <c r="E157" s="82" t="s">
        <v>722</v>
      </c>
      <c r="F157" s="82">
        <v>3.94</v>
      </c>
    </row>
    <row r="158" spans="1:6">
      <c r="A158" s="80" t="s">
        <v>486</v>
      </c>
      <c r="B158" s="80" t="s">
        <v>712</v>
      </c>
      <c r="C158" s="81" t="s">
        <v>713</v>
      </c>
      <c r="D158" s="80" t="s">
        <v>534</v>
      </c>
      <c r="E158" s="82" t="s">
        <v>726</v>
      </c>
      <c r="F158" s="82">
        <f>F152</f>
        <v>17.98</v>
      </c>
    </row>
    <row r="159" spans="1:6" ht="31.5">
      <c r="A159" s="80" t="s">
        <v>486</v>
      </c>
      <c r="B159" s="80" t="s">
        <v>727</v>
      </c>
      <c r="C159" s="81" t="s">
        <v>728</v>
      </c>
      <c r="D159" s="80" t="s">
        <v>534</v>
      </c>
      <c r="E159" s="82" t="s">
        <v>729</v>
      </c>
      <c r="F159" s="82">
        <v>48.85</v>
      </c>
    </row>
    <row r="160" spans="1:6">
      <c r="A160" s="80" t="s">
        <v>472</v>
      </c>
      <c r="B160" s="80" t="s">
        <v>546</v>
      </c>
      <c r="C160" s="81" t="s">
        <v>547</v>
      </c>
      <c r="D160" s="80" t="s">
        <v>475</v>
      </c>
      <c r="E160" s="82" t="s">
        <v>730</v>
      </c>
      <c r="F160" s="82">
        <f>F154</f>
        <v>30.74</v>
      </c>
    </row>
    <row r="161" spans="1:6">
      <c r="A161" s="80" t="s">
        <v>472</v>
      </c>
      <c r="B161" s="80" t="s">
        <v>477</v>
      </c>
      <c r="C161" s="81" t="s">
        <v>478</v>
      </c>
      <c r="D161" s="80" t="s">
        <v>475</v>
      </c>
      <c r="E161" s="82" t="s">
        <v>730</v>
      </c>
      <c r="F161" s="82">
        <f>F155</f>
        <v>21.91</v>
      </c>
    </row>
    <row r="162" spans="1:6" s="77" customFormat="1" ht="31.5">
      <c r="A162" s="135"/>
      <c r="B162" s="135" t="s">
        <v>565</v>
      </c>
      <c r="C162" s="136" t="s">
        <v>731</v>
      </c>
      <c r="D162" s="135" t="s">
        <v>482</v>
      </c>
      <c r="E162" s="137" t="s">
        <v>471</v>
      </c>
      <c r="F162" s="127">
        <f>(E163*F163)+(E164*F164)+(E165*F165)+(E166*F166)+(E167*F167)</f>
        <v>37.245199999999997</v>
      </c>
    </row>
    <row r="163" spans="1:6" s="77" customFormat="1" ht="20.25" customHeight="1">
      <c r="A163" s="80" t="s">
        <v>486</v>
      </c>
      <c r="B163" s="80" t="s">
        <v>724</v>
      </c>
      <c r="C163" s="81" t="s">
        <v>725</v>
      </c>
      <c r="D163" s="80" t="s">
        <v>541</v>
      </c>
      <c r="E163" s="82" t="s">
        <v>732</v>
      </c>
      <c r="F163" s="82">
        <f>F157</f>
        <v>3.94</v>
      </c>
    </row>
    <row r="164" spans="1:6" s="77" customFormat="1">
      <c r="A164" s="80" t="s">
        <v>486</v>
      </c>
      <c r="B164" s="80" t="s">
        <v>712</v>
      </c>
      <c r="C164" s="81" t="s">
        <v>713</v>
      </c>
      <c r="D164" s="80" t="s">
        <v>534</v>
      </c>
      <c r="E164" s="82" t="s">
        <v>733</v>
      </c>
      <c r="F164" s="82">
        <f>F158</f>
        <v>17.98</v>
      </c>
    </row>
    <row r="165" spans="1:6" s="77" customFormat="1">
      <c r="A165" s="80" t="s">
        <v>486</v>
      </c>
      <c r="B165" s="80" t="s">
        <v>715</v>
      </c>
      <c r="C165" s="81" t="s">
        <v>734</v>
      </c>
      <c r="D165" s="80" t="s">
        <v>534</v>
      </c>
      <c r="E165" s="82" t="s">
        <v>561</v>
      </c>
      <c r="F165" s="82">
        <v>45.61</v>
      </c>
    </row>
    <row r="166" spans="1:6" s="77" customFormat="1">
      <c r="A166" s="80" t="s">
        <v>472</v>
      </c>
      <c r="B166" s="80" t="s">
        <v>546</v>
      </c>
      <c r="C166" s="81" t="s">
        <v>547</v>
      </c>
      <c r="D166" s="80" t="s">
        <v>475</v>
      </c>
      <c r="E166" s="82" t="s">
        <v>735</v>
      </c>
      <c r="F166" s="82">
        <f>F160</f>
        <v>30.74</v>
      </c>
    </row>
    <row r="167" spans="1:6" s="77" customFormat="1">
      <c r="A167" s="80" t="s">
        <v>472</v>
      </c>
      <c r="B167" s="80" t="s">
        <v>477</v>
      </c>
      <c r="C167" s="81" t="s">
        <v>478</v>
      </c>
      <c r="D167" s="80" t="s">
        <v>475</v>
      </c>
      <c r="E167" s="82" t="s">
        <v>735</v>
      </c>
      <c r="F167" s="82">
        <f>F161</f>
        <v>21.91</v>
      </c>
    </row>
    <row r="168" spans="1:6" s="77" customFormat="1" ht="31.5">
      <c r="A168" s="135"/>
      <c r="B168" s="135" t="s">
        <v>565</v>
      </c>
      <c r="C168" s="136" t="s">
        <v>736</v>
      </c>
      <c r="D168" s="135" t="s">
        <v>482</v>
      </c>
      <c r="E168" s="137" t="s">
        <v>471</v>
      </c>
      <c r="F168" s="127">
        <f>(E169*F169)+(E170*F170)+(E171*F171)+(E172*F172)+(E173*F173)</f>
        <v>10.244578000000001</v>
      </c>
    </row>
    <row r="169" spans="1:6" s="77" customFormat="1">
      <c r="A169" s="80" t="s">
        <v>486</v>
      </c>
      <c r="B169" s="80" t="s">
        <v>724</v>
      </c>
      <c r="C169" s="81" t="s">
        <v>725</v>
      </c>
      <c r="D169" s="80" t="s">
        <v>541</v>
      </c>
      <c r="E169" s="82" t="s">
        <v>591</v>
      </c>
      <c r="F169" s="82">
        <f>F163</f>
        <v>3.94</v>
      </c>
    </row>
    <row r="170" spans="1:6" s="77" customFormat="1">
      <c r="A170" s="80" t="s">
        <v>486</v>
      </c>
      <c r="B170" s="80" t="s">
        <v>712</v>
      </c>
      <c r="C170" s="81" t="s">
        <v>713</v>
      </c>
      <c r="D170" s="80" t="s">
        <v>534</v>
      </c>
      <c r="E170" s="82" t="s">
        <v>542</v>
      </c>
      <c r="F170" s="82">
        <f>F164</f>
        <v>17.98</v>
      </c>
    </row>
    <row r="171" spans="1:6" s="77" customFormat="1">
      <c r="A171" s="80" t="s">
        <v>486</v>
      </c>
      <c r="B171" s="80">
        <v>7307</v>
      </c>
      <c r="C171" s="81" t="s">
        <v>737</v>
      </c>
      <c r="D171" s="80" t="s">
        <v>534</v>
      </c>
      <c r="E171" s="88">
        <f>0.0067*18</f>
        <v>0.1206</v>
      </c>
      <c r="F171" s="82">
        <v>47.63</v>
      </c>
    </row>
    <row r="172" spans="1:6" s="77" customFormat="1">
      <c r="A172" s="80" t="s">
        <v>472</v>
      </c>
      <c r="B172" s="80" t="s">
        <v>546</v>
      </c>
      <c r="C172" s="81" t="s">
        <v>547</v>
      </c>
      <c r="D172" s="80" t="s">
        <v>475</v>
      </c>
      <c r="E172" s="82" t="s">
        <v>738</v>
      </c>
      <c r="F172" s="82">
        <f>F166</f>
        <v>30.74</v>
      </c>
    </row>
    <row r="173" spans="1:6">
      <c r="A173" s="80" t="s">
        <v>472</v>
      </c>
      <c r="B173" s="80" t="s">
        <v>477</v>
      </c>
      <c r="C173" s="81" t="s">
        <v>478</v>
      </c>
      <c r="D173" s="80" t="s">
        <v>475</v>
      </c>
      <c r="E173" s="82" t="s">
        <v>714</v>
      </c>
      <c r="F173" s="82">
        <f>F167</f>
        <v>21.91</v>
      </c>
    </row>
    <row r="174" spans="1:6">
      <c r="A174" s="135"/>
      <c r="B174" s="125" t="s">
        <v>565</v>
      </c>
      <c r="C174" s="126" t="s">
        <v>739</v>
      </c>
      <c r="D174" s="125" t="s">
        <v>482</v>
      </c>
      <c r="E174" s="143"/>
      <c r="F174" s="127">
        <f>(E175*F175)+(E176*F176)+(E177*F177)+(E178*F178)+(E179*F179)</f>
        <v>37.245199999999997</v>
      </c>
    </row>
    <row r="175" spans="1:6">
      <c r="A175" s="80" t="s">
        <v>486</v>
      </c>
      <c r="B175" s="80" t="s">
        <v>724</v>
      </c>
      <c r="C175" s="81" t="s">
        <v>725</v>
      </c>
      <c r="D175" s="80" t="s">
        <v>541</v>
      </c>
      <c r="E175" s="82" t="s">
        <v>732</v>
      </c>
      <c r="F175" s="82">
        <f>F163</f>
        <v>3.94</v>
      </c>
    </row>
    <row r="176" spans="1:6">
      <c r="A176" s="80" t="s">
        <v>486</v>
      </c>
      <c r="B176" s="80" t="s">
        <v>712</v>
      </c>
      <c r="C176" s="81" t="s">
        <v>713</v>
      </c>
      <c r="D176" s="80" t="s">
        <v>534</v>
      </c>
      <c r="E176" s="82" t="s">
        <v>733</v>
      </c>
      <c r="F176" s="82">
        <f t="shared" ref="F176:F179" si="1">F164</f>
        <v>17.98</v>
      </c>
    </row>
    <row r="177" spans="1:6">
      <c r="A177" s="80" t="s">
        <v>486</v>
      </c>
      <c r="B177" s="80" t="s">
        <v>715</v>
      </c>
      <c r="C177" s="81" t="s">
        <v>740</v>
      </c>
      <c r="D177" s="80" t="s">
        <v>534</v>
      </c>
      <c r="E177" s="82" t="s">
        <v>561</v>
      </c>
      <c r="F177" s="82">
        <f t="shared" si="1"/>
        <v>45.61</v>
      </c>
    </row>
    <row r="178" spans="1:6">
      <c r="A178" s="80" t="s">
        <v>472</v>
      </c>
      <c r="B178" s="80" t="s">
        <v>546</v>
      </c>
      <c r="C178" s="81" t="s">
        <v>547</v>
      </c>
      <c r="D178" s="80" t="s">
        <v>475</v>
      </c>
      <c r="E178" s="82" t="s">
        <v>735</v>
      </c>
      <c r="F178" s="82">
        <f t="shared" si="1"/>
        <v>30.74</v>
      </c>
    </row>
    <row r="179" spans="1:6">
      <c r="A179" s="80" t="s">
        <v>472</v>
      </c>
      <c r="B179" s="80" t="s">
        <v>477</v>
      </c>
      <c r="C179" s="81" t="s">
        <v>478</v>
      </c>
      <c r="D179" s="80" t="s">
        <v>475</v>
      </c>
      <c r="E179" s="82" t="s">
        <v>735</v>
      </c>
      <c r="F179" s="82">
        <f t="shared" si="1"/>
        <v>21.91</v>
      </c>
    </row>
    <row r="180" spans="1:6" ht="31.5">
      <c r="A180" s="135"/>
      <c r="B180" s="135" t="s">
        <v>565</v>
      </c>
      <c r="C180" s="136" t="s">
        <v>741</v>
      </c>
      <c r="D180" s="135" t="s">
        <v>482</v>
      </c>
      <c r="E180" s="137" t="s">
        <v>471</v>
      </c>
      <c r="F180" s="127">
        <f>(E181*F181)+(E182*F182)+(E183*F183)+(E184*F184)</f>
        <v>153.62280000000001</v>
      </c>
    </row>
    <row r="181" spans="1:6" ht="19.5" customHeight="1">
      <c r="A181" s="80" t="s">
        <v>486</v>
      </c>
      <c r="B181" s="80" t="s">
        <v>742</v>
      </c>
      <c r="C181" s="81" t="s">
        <v>743</v>
      </c>
      <c r="D181" s="80" t="s">
        <v>489</v>
      </c>
      <c r="E181" s="82" t="s">
        <v>744</v>
      </c>
      <c r="F181" s="82">
        <v>62.3</v>
      </c>
    </row>
    <row r="182" spans="1:6">
      <c r="A182" s="80" t="s">
        <v>486</v>
      </c>
      <c r="B182" s="80">
        <v>1340</v>
      </c>
      <c r="C182" s="81" t="s">
        <v>745</v>
      </c>
      <c r="D182" s="80" t="s">
        <v>482</v>
      </c>
      <c r="E182" s="82" t="s">
        <v>746</v>
      </c>
      <c r="F182" s="82">
        <v>71.84</v>
      </c>
    </row>
    <row r="183" spans="1:6" s="77" customFormat="1">
      <c r="A183" s="80" t="s">
        <v>472</v>
      </c>
      <c r="B183" s="80" t="s">
        <v>654</v>
      </c>
      <c r="C183" s="81" t="s">
        <v>655</v>
      </c>
      <c r="D183" s="80" t="s">
        <v>475</v>
      </c>
      <c r="E183" s="82" t="s">
        <v>747</v>
      </c>
      <c r="F183" s="82">
        <v>27.95</v>
      </c>
    </row>
    <row r="184" spans="1:6" s="77" customFormat="1">
      <c r="A184" s="80" t="s">
        <v>472</v>
      </c>
      <c r="B184" s="80" t="s">
        <v>477</v>
      </c>
      <c r="C184" s="81" t="s">
        <v>478</v>
      </c>
      <c r="D184" s="80" t="s">
        <v>475</v>
      </c>
      <c r="E184" s="82" t="s">
        <v>748</v>
      </c>
      <c r="F184" s="82">
        <f>F179</f>
        <v>21.91</v>
      </c>
    </row>
    <row r="185" spans="1:6" s="77" customFormat="1" ht="21.75" customHeight="1">
      <c r="A185" s="135"/>
      <c r="B185" s="135" t="s">
        <v>565</v>
      </c>
      <c r="C185" s="136" t="s">
        <v>749</v>
      </c>
      <c r="D185" s="135" t="s">
        <v>470</v>
      </c>
      <c r="E185" s="137" t="s">
        <v>471</v>
      </c>
      <c r="F185" s="127">
        <f>(E186*F186)+(E187*F187)+(E188*F188)</f>
        <v>46.118000000000002</v>
      </c>
    </row>
    <row r="186" spans="1:6" s="77" customFormat="1">
      <c r="A186" s="80" t="s">
        <v>486</v>
      </c>
      <c r="B186" s="80" t="s">
        <v>750</v>
      </c>
      <c r="C186" s="81" t="s">
        <v>751</v>
      </c>
      <c r="D186" s="80" t="s">
        <v>470</v>
      </c>
      <c r="E186" s="82" t="s">
        <v>569</v>
      </c>
      <c r="F186" s="82">
        <v>19.72</v>
      </c>
    </row>
    <row r="187" spans="1:6" s="77" customFormat="1">
      <c r="A187" s="80" t="s">
        <v>472</v>
      </c>
      <c r="B187" s="80" t="s">
        <v>473</v>
      </c>
      <c r="C187" s="81" t="s">
        <v>474</v>
      </c>
      <c r="D187" s="80" t="s">
        <v>475</v>
      </c>
      <c r="E187" s="82" t="s">
        <v>732</v>
      </c>
      <c r="F187" s="82">
        <v>29.39</v>
      </c>
    </row>
    <row r="188" spans="1:6" s="77" customFormat="1">
      <c r="A188" s="80" t="s">
        <v>472</v>
      </c>
      <c r="B188" s="80" t="s">
        <v>477</v>
      </c>
      <c r="C188" s="81" t="s">
        <v>478</v>
      </c>
      <c r="D188" s="80" t="s">
        <v>475</v>
      </c>
      <c r="E188" s="82" t="s">
        <v>711</v>
      </c>
      <c r="F188" s="82">
        <f>F184</f>
        <v>21.91</v>
      </c>
    </row>
    <row r="189" spans="1:6" s="77" customFormat="1" ht="19.5" customHeight="1">
      <c r="A189" s="135"/>
      <c r="B189" s="135" t="s">
        <v>565</v>
      </c>
      <c r="C189" s="136" t="s">
        <v>752</v>
      </c>
      <c r="D189" s="135" t="s">
        <v>482</v>
      </c>
      <c r="E189" s="137" t="s">
        <v>471</v>
      </c>
      <c r="F189" s="127">
        <f>(E190*F190)+(E191*F191)+(E192*F192)+(E193*F193)</f>
        <v>111.54600000000001</v>
      </c>
    </row>
    <row r="190" spans="1:6" s="77" customFormat="1" ht="31.5">
      <c r="A190" s="80" t="s">
        <v>486</v>
      </c>
      <c r="B190" s="80" t="s">
        <v>753</v>
      </c>
      <c r="C190" s="81" t="s">
        <v>754</v>
      </c>
      <c r="D190" s="80" t="s">
        <v>489</v>
      </c>
      <c r="E190" s="82" t="s">
        <v>755</v>
      </c>
      <c r="F190" s="82">
        <v>15.26</v>
      </c>
    </row>
    <row r="191" spans="1:6" s="77" customFormat="1" ht="31.5">
      <c r="A191" s="80" t="s">
        <v>486</v>
      </c>
      <c r="B191" s="80" t="s">
        <v>756</v>
      </c>
      <c r="C191" s="81" t="s">
        <v>757</v>
      </c>
      <c r="D191" s="80" t="s">
        <v>482</v>
      </c>
      <c r="E191" s="82" t="s">
        <v>746</v>
      </c>
      <c r="F191" s="82">
        <v>33.24</v>
      </c>
    </row>
    <row r="192" spans="1:6" s="77" customFormat="1">
      <c r="A192" s="80" t="s">
        <v>472</v>
      </c>
      <c r="B192" s="80" t="s">
        <v>758</v>
      </c>
      <c r="C192" s="81" t="s">
        <v>599</v>
      </c>
      <c r="D192" s="80" t="s">
        <v>475</v>
      </c>
      <c r="E192" s="82" t="s">
        <v>732</v>
      </c>
      <c r="F192" s="82">
        <v>29.53</v>
      </c>
    </row>
    <row r="193" spans="1:6" s="77" customFormat="1">
      <c r="A193" s="80" t="s">
        <v>472</v>
      </c>
      <c r="B193" s="80" t="s">
        <v>477</v>
      </c>
      <c r="C193" s="81" t="s">
        <v>478</v>
      </c>
      <c r="D193" s="80" t="s">
        <v>475</v>
      </c>
      <c r="E193" s="82" t="s">
        <v>732</v>
      </c>
      <c r="F193" s="82">
        <f>F188</f>
        <v>21.91</v>
      </c>
    </row>
    <row r="194" spans="1:6" s="77" customFormat="1">
      <c r="A194" s="144"/>
      <c r="B194" s="151" t="s">
        <v>565</v>
      </c>
      <c r="C194" s="141" t="s">
        <v>759</v>
      </c>
      <c r="D194" s="135" t="s">
        <v>482</v>
      </c>
      <c r="E194" s="145"/>
      <c r="F194" s="231">
        <f>E195*F195</f>
        <v>140</v>
      </c>
    </row>
    <row r="195" spans="1:6" s="77" customFormat="1" ht="18.75" customHeight="1">
      <c r="A195" s="158"/>
      <c r="B195" s="157" t="s">
        <v>760</v>
      </c>
      <c r="C195" s="95" t="s">
        <v>759</v>
      </c>
      <c r="D195" s="80" t="s">
        <v>482</v>
      </c>
      <c r="E195" s="256">
        <v>1</v>
      </c>
      <c r="F195" s="232">
        <v>140</v>
      </c>
    </row>
    <row r="196" spans="1:6" ht="31.5">
      <c r="A196" s="135"/>
      <c r="B196" s="135">
        <v>100659</v>
      </c>
      <c r="C196" s="136" t="s">
        <v>761</v>
      </c>
      <c r="D196" s="135" t="s">
        <v>470</v>
      </c>
      <c r="E196" s="137" t="s">
        <v>471</v>
      </c>
      <c r="F196" s="127">
        <v>13.76</v>
      </c>
    </row>
    <row r="197" spans="1:6" ht="47.25">
      <c r="A197" s="80" t="s">
        <v>486</v>
      </c>
      <c r="B197" s="80" t="s">
        <v>762</v>
      </c>
      <c r="C197" s="81" t="s">
        <v>763</v>
      </c>
      <c r="D197" s="80" t="s">
        <v>470</v>
      </c>
      <c r="E197" s="82" t="s">
        <v>764</v>
      </c>
      <c r="F197" s="82"/>
    </row>
    <row r="198" spans="1:6">
      <c r="A198" s="80" t="s">
        <v>486</v>
      </c>
      <c r="B198" s="80" t="s">
        <v>765</v>
      </c>
      <c r="C198" s="81" t="s">
        <v>766</v>
      </c>
      <c r="D198" s="80" t="s">
        <v>489</v>
      </c>
      <c r="E198" s="82" t="s">
        <v>767</v>
      </c>
      <c r="F198" s="82"/>
    </row>
    <row r="199" spans="1:6">
      <c r="A199" s="80" t="s">
        <v>472</v>
      </c>
      <c r="B199" s="80" t="s">
        <v>654</v>
      </c>
      <c r="C199" s="81" t="s">
        <v>655</v>
      </c>
      <c r="D199" s="80" t="s">
        <v>475</v>
      </c>
      <c r="E199" s="82" t="s">
        <v>768</v>
      </c>
      <c r="F199" s="82"/>
    </row>
    <row r="200" spans="1:6">
      <c r="A200" s="80" t="s">
        <v>472</v>
      </c>
      <c r="B200" s="80" t="s">
        <v>477</v>
      </c>
      <c r="C200" s="81" t="s">
        <v>478</v>
      </c>
      <c r="D200" s="80" t="s">
        <v>475</v>
      </c>
      <c r="E200" s="82" t="s">
        <v>769</v>
      </c>
      <c r="F200" s="82"/>
    </row>
    <row r="201" spans="1:6" ht="47.25">
      <c r="A201" s="135"/>
      <c r="B201" s="135" t="s">
        <v>770</v>
      </c>
      <c r="C201" s="136" t="s">
        <v>771</v>
      </c>
      <c r="D201" s="135" t="s">
        <v>541</v>
      </c>
      <c r="E201" s="137" t="s">
        <v>471</v>
      </c>
      <c r="F201" s="127">
        <v>474.33</v>
      </c>
    </row>
    <row r="202" spans="1:6" ht="31.5">
      <c r="A202" s="80" t="s">
        <v>486</v>
      </c>
      <c r="B202" s="80" t="s">
        <v>772</v>
      </c>
      <c r="C202" s="81" t="s">
        <v>773</v>
      </c>
      <c r="D202" s="80" t="s">
        <v>541</v>
      </c>
      <c r="E202" s="82" t="s">
        <v>755</v>
      </c>
      <c r="F202" s="82" t="s">
        <v>471</v>
      </c>
    </row>
    <row r="203" spans="1:6" ht="47.25">
      <c r="A203" s="80" t="s">
        <v>486</v>
      </c>
      <c r="B203" s="80" t="s">
        <v>774</v>
      </c>
      <c r="C203" s="81" t="s">
        <v>775</v>
      </c>
      <c r="D203" s="80" t="s">
        <v>541</v>
      </c>
      <c r="E203" s="82" t="s">
        <v>569</v>
      </c>
      <c r="F203" s="82" t="s">
        <v>471</v>
      </c>
    </row>
    <row r="204" spans="1:6" ht="31.5">
      <c r="A204" s="80" t="s">
        <v>486</v>
      </c>
      <c r="B204" s="80" t="s">
        <v>776</v>
      </c>
      <c r="C204" s="81" t="s">
        <v>777</v>
      </c>
      <c r="D204" s="80" t="s">
        <v>541</v>
      </c>
      <c r="E204" s="82" t="s">
        <v>778</v>
      </c>
      <c r="F204" s="82" t="s">
        <v>471</v>
      </c>
    </row>
    <row r="205" spans="1:6">
      <c r="A205" s="80" t="s">
        <v>472</v>
      </c>
      <c r="B205" s="80" t="s">
        <v>654</v>
      </c>
      <c r="C205" s="81" t="s">
        <v>655</v>
      </c>
      <c r="D205" s="80" t="s">
        <v>475</v>
      </c>
      <c r="E205" s="82" t="s">
        <v>779</v>
      </c>
      <c r="F205" s="82" t="s">
        <v>471</v>
      </c>
    </row>
    <row r="206" spans="1:6">
      <c r="A206" s="80" t="s">
        <v>472</v>
      </c>
      <c r="B206" s="80" t="s">
        <v>477</v>
      </c>
      <c r="C206" s="81" t="s">
        <v>478</v>
      </c>
      <c r="D206" s="80" t="s">
        <v>475</v>
      </c>
      <c r="E206" s="82" t="s">
        <v>780</v>
      </c>
      <c r="F206" s="82" t="s">
        <v>471</v>
      </c>
    </row>
    <row r="207" spans="1:6" ht="31.5">
      <c r="A207" s="135"/>
      <c r="B207" s="135">
        <v>91341</v>
      </c>
      <c r="C207" s="136" t="s">
        <v>781</v>
      </c>
      <c r="D207" s="135" t="s">
        <v>482</v>
      </c>
      <c r="E207" s="137" t="s">
        <v>471</v>
      </c>
      <c r="F207" s="127">
        <v>510.62</v>
      </c>
    </row>
    <row r="208" spans="1:6" ht="31.5">
      <c r="A208" s="80" t="s">
        <v>486</v>
      </c>
      <c r="B208" s="80" t="s">
        <v>782</v>
      </c>
      <c r="C208" s="81" t="s">
        <v>783</v>
      </c>
      <c r="D208" s="80" t="s">
        <v>784</v>
      </c>
      <c r="E208" s="82" t="s">
        <v>785</v>
      </c>
      <c r="F208" s="82"/>
    </row>
    <row r="209" spans="1:6" ht="31.5">
      <c r="A209" s="80" t="s">
        <v>486</v>
      </c>
      <c r="B209" s="80" t="s">
        <v>786</v>
      </c>
      <c r="C209" s="81" t="s">
        <v>787</v>
      </c>
      <c r="D209" s="80" t="s">
        <v>541</v>
      </c>
      <c r="E209" s="82" t="s">
        <v>788</v>
      </c>
      <c r="F209" s="82"/>
    </row>
    <row r="210" spans="1:6" ht="47.25">
      <c r="A210" s="80" t="s">
        <v>486</v>
      </c>
      <c r="B210" s="80" t="s">
        <v>789</v>
      </c>
      <c r="C210" s="81" t="s">
        <v>790</v>
      </c>
      <c r="D210" s="80" t="s">
        <v>470</v>
      </c>
      <c r="E210" s="82" t="s">
        <v>791</v>
      </c>
      <c r="F210" s="82"/>
    </row>
    <row r="211" spans="1:6" ht="31.5">
      <c r="A211" s="80" t="s">
        <v>486</v>
      </c>
      <c r="B211" s="80" t="s">
        <v>792</v>
      </c>
      <c r="C211" s="81" t="s">
        <v>793</v>
      </c>
      <c r="D211" s="80" t="s">
        <v>541</v>
      </c>
      <c r="E211" s="82" t="s">
        <v>794</v>
      </c>
      <c r="F211" s="82"/>
    </row>
    <row r="212" spans="1:6">
      <c r="A212" s="80" t="s">
        <v>472</v>
      </c>
      <c r="B212" s="80" t="s">
        <v>518</v>
      </c>
      <c r="C212" s="81" t="s">
        <v>519</v>
      </c>
      <c r="D212" s="80" t="s">
        <v>475</v>
      </c>
      <c r="E212" s="82" t="s">
        <v>795</v>
      </c>
      <c r="F212" s="82"/>
    </row>
    <row r="213" spans="1:6">
      <c r="A213" s="80" t="s">
        <v>472</v>
      </c>
      <c r="B213" s="80" t="s">
        <v>477</v>
      </c>
      <c r="C213" s="81" t="s">
        <v>478</v>
      </c>
      <c r="D213" s="80" t="s">
        <v>475</v>
      </c>
      <c r="E213" s="82" t="s">
        <v>796</v>
      </c>
      <c r="F213" s="82"/>
    </row>
    <row r="214" spans="1:6">
      <c r="A214" s="125"/>
      <c r="B214" s="125" t="s">
        <v>797</v>
      </c>
      <c r="C214" s="126" t="s">
        <v>798</v>
      </c>
      <c r="D214" s="125" t="s">
        <v>541</v>
      </c>
      <c r="E214" s="127" t="s">
        <v>471</v>
      </c>
      <c r="F214" s="127">
        <v>1336.21</v>
      </c>
    </row>
    <row r="215" spans="1:6" ht="31.5">
      <c r="A215" s="80" t="s">
        <v>486</v>
      </c>
      <c r="B215" s="80" t="s">
        <v>799</v>
      </c>
      <c r="C215" s="81" t="s">
        <v>800</v>
      </c>
      <c r="D215" s="80" t="s">
        <v>541</v>
      </c>
      <c r="E215" s="82" t="s">
        <v>569</v>
      </c>
      <c r="F215" s="82" t="s">
        <v>471</v>
      </c>
    </row>
    <row r="216" spans="1:6">
      <c r="A216" s="80" t="s">
        <v>472</v>
      </c>
      <c r="B216" s="80" t="s">
        <v>518</v>
      </c>
      <c r="C216" s="81" t="s">
        <v>519</v>
      </c>
      <c r="D216" s="80" t="s">
        <v>475</v>
      </c>
      <c r="E216" s="82" t="s">
        <v>801</v>
      </c>
      <c r="F216" s="82" t="s">
        <v>471</v>
      </c>
    </row>
    <row r="217" spans="1:6">
      <c r="A217" s="80" t="s">
        <v>472</v>
      </c>
      <c r="B217" s="80" t="s">
        <v>477</v>
      </c>
      <c r="C217" s="81" t="s">
        <v>478</v>
      </c>
      <c r="D217" s="80" t="s">
        <v>475</v>
      </c>
      <c r="E217" s="82" t="s">
        <v>802</v>
      </c>
      <c r="F217" s="82" t="s">
        <v>471</v>
      </c>
    </row>
    <row r="218" spans="1:6">
      <c r="A218" s="80" t="s">
        <v>472</v>
      </c>
      <c r="B218" s="80" t="s">
        <v>803</v>
      </c>
      <c r="C218" s="81" t="s">
        <v>804</v>
      </c>
      <c r="D218" s="80" t="s">
        <v>805</v>
      </c>
      <c r="E218" s="82" t="s">
        <v>806</v>
      </c>
      <c r="F218" s="82" t="s">
        <v>471</v>
      </c>
    </row>
    <row r="219" spans="1:6" ht="66.75" customHeight="1">
      <c r="A219" s="125"/>
      <c r="B219" s="125" t="s">
        <v>807</v>
      </c>
      <c r="C219" s="126" t="s">
        <v>808</v>
      </c>
      <c r="D219" s="125" t="s">
        <v>541</v>
      </c>
      <c r="E219" s="127" t="s">
        <v>471</v>
      </c>
      <c r="F219" s="127">
        <v>1284.04</v>
      </c>
    </row>
    <row r="220" spans="1:6" ht="31.5">
      <c r="A220" s="121" t="s">
        <v>472</v>
      </c>
      <c r="B220" s="121" t="s">
        <v>809</v>
      </c>
      <c r="C220" s="120" t="s">
        <v>810</v>
      </c>
      <c r="D220" s="121" t="s">
        <v>541</v>
      </c>
      <c r="E220" s="122" t="s">
        <v>569</v>
      </c>
      <c r="F220" s="122" t="s">
        <v>471</v>
      </c>
    </row>
    <row r="221" spans="1:6" ht="35.25" customHeight="1">
      <c r="A221" s="121" t="s">
        <v>472</v>
      </c>
      <c r="B221" s="121" t="s">
        <v>770</v>
      </c>
      <c r="C221" s="120" t="s">
        <v>811</v>
      </c>
      <c r="D221" s="121" t="s">
        <v>541</v>
      </c>
      <c r="E221" s="122" t="s">
        <v>569</v>
      </c>
      <c r="F221" s="122" t="s">
        <v>471</v>
      </c>
    </row>
    <row r="222" spans="1:6" ht="34.5" customHeight="1">
      <c r="A222" s="121" t="s">
        <v>472</v>
      </c>
      <c r="B222" s="121" t="s">
        <v>812</v>
      </c>
      <c r="C222" s="120" t="s">
        <v>813</v>
      </c>
      <c r="D222" s="121" t="s">
        <v>541</v>
      </c>
      <c r="E222" s="122" t="s">
        <v>569</v>
      </c>
      <c r="F222" s="122" t="s">
        <v>471</v>
      </c>
    </row>
    <row r="223" spans="1:6" ht="31.5">
      <c r="A223" s="121" t="s">
        <v>472</v>
      </c>
      <c r="B223" s="121" t="s">
        <v>814</v>
      </c>
      <c r="C223" s="120" t="s">
        <v>815</v>
      </c>
      <c r="D223" s="121" t="s">
        <v>470</v>
      </c>
      <c r="E223" s="122" t="s">
        <v>816</v>
      </c>
      <c r="F223" s="122" t="s">
        <v>471</v>
      </c>
    </row>
    <row r="224" spans="1:6" ht="47.25">
      <c r="A224" s="125"/>
      <c r="B224" s="125">
        <v>91297</v>
      </c>
      <c r="C224" s="126" t="s">
        <v>817</v>
      </c>
      <c r="D224" s="125" t="s">
        <v>541</v>
      </c>
      <c r="E224" s="127"/>
      <c r="F224" s="127">
        <v>443.56</v>
      </c>
    </row>
    <row r="225" spans="1:10" ht="31.5">
      <c r="A225" s="121" t="s">
        <v>486</v>
      </c>
      <c r="B225" s="121" t="s">
        <v>772</v>
      </c>
      <c r="C225" s="120" t="s">
        <v>773</v>
      </c>
      <c r="D225" s="121" t="s">
        <v>541</v>
      </c>
      <c r="E225" s="122" t="s">
        <v>755</v>
      </c>
      <c r="F225" s="122"/>
    </row>
    <row r="226" spans="1:10" ht="50.25" customHeight="1">
      <c r="A226" s="121" t="s">
        <v>486</v>
      </c>
      <c r="B226" s="121" t="s">
        <v>818</v>
      </c>
      <c r="C226" s="120" t="s">
        <v>819</v>
      </c>
      <c r="D226" s="121" t="s">
        <v>541</v>
      </c>
      <c r="E226" s="122" t="s">
        <v>569</v>
      </c>
      <c r="F226" s="122"/>
    </row>
    <row r="227" spans="1:10" ht="31.5">
      <c r="A227" s="121" t="s">
        <v>486</v>
      </c>
      <c r="B227" s="121" t="s">
        <v>776</v>
      </c>
      <c r="C227" s="120" t="s">
        <v>777</v>
      </c>
      <c r="D227" s="121" t="s">
        <v>541</v>
      </c>
      <c r="E227" s="122" t="s">
        <v>778</v>
      </c>
      <c r="F227" s="122"/>
    </row>
    <row r="228" spans="1:10">
      <c r="A228" s="121" t="s">
        <v>472</v>
      </c>
      <c r="B228" s="121" t="s">
        <v>654</v>
      </c>
      <c r="C228" s="120" t="s">
        <v>655</v>
      </c>
      <c r="D228" s="121" t="s">
        <v>475</v>
      </c>
      <c r="E228" s="122" t="s">
        <v>820</v>
      </c>
      <c r="F228" s="122"/>
    </row>
    <row r="229" spans="1:10">
      <c r="A229" s="121" t="s">
        <v>472</v>
      </c>
      <c r="B229" s="121" t="s">
        <v>477</v>
      </c>
      <c r="C229" s="120" t="s">
        <v>478</v>
      </c>
      <c r="D229" s="121" t="s">
        <v>475</v>
      </c>
      <c r="E229" s="122" t="s">
        <v>821</v>
      </c>
      <c r="F229" s="122"/>
    </row>
    <row r="230" spans="1:10">
      <c r="A230" s="136"/>
      <c r="B230" s="135" t="s">
        <v>565</v>
      </c>
      <c r="C230" s="136" t="s">
        <v>822</v>
      </c>
      <c r="D230" s="135" t="s">
        <v>482</v>
      </c>
      <c r="E230" s="135"/>
      <c r="F230" s="137">
        <f>(E231*F231)+(E232*F232)+(E233*F233)+(E234*F234)+(E235*F235)</f>
        <v>39.054356296296291</v>
      </c>
    </row>
    <row r="231" spans="1:10">
      <c r="A231" s="80" t="s">
        <v>472</v>
      </c>
      <c r="B231" s="80">
        <v>88310</v>
      </c>
      <c r="C231" s="81" t="s">
        <v>547</v>
      </c>
      <c r="D231" s="80" t="s">
        <v>475</v>
      </c>
      <c r="E231" s="84">
        <v>0.21</v>
      </c>
      <c r="F231" s="82">
        <v>30.74</v>
      </c>
    </row>
    <row r="232" spans="1:10">
      <c r="A232" s="80" t="s">
        <v>472</v>
      </c>
      <c r="B232" s="80">
        <v>88316</v>
      </c>
      <c r="C232" s="81" t="s">
        <v>478</v>
      </c>
      <c r="D232" s="80" t="s">
        <v>475</v>
      </c>
      <c r="E232" s="84">
        <v>0.11</v>
      </c>
      <c r="F232" s="82">
        <v>21.91</v>
      </c>
    </row>
    <row r="233" spans="1:10">
      <c r="A233" s="80" t="s">
        <v>486</v>
      </c>
      <c r="B233" s="80">
        <v>3768</v>
      </c>
      <c r="C233" s="81" t="s">
        <v>725</v>
      </c>
      <c r="D233" s="80" t="s">
        <v>135</v>
      </c>
      <c r="E233" s="84">
        <v>0.55000000000000004</v>
      </c>
      <c r="F233" s="82">
        <v>3.94</v>
      </c>
    </row>
    <row r="234" spans="1:10" s="77" customFormat="1">
      <c r="A234" s="80" t="s">
        <v>486</v>
      </c>
      <c r="B234" s="83" t="s">
        <v>461</v>
      </c>
      <c r="C234" s="81" t="s">
        <v>823</v>
      </c>
      <c r="D234" s="80" t="s">
        <v>534</v>
      </c>
      <c r="E234" s="84">
        <v>0.17599999999999999</v>
      </c>
      <c r="F234" s="82">
        <f>AVERAGE(H234:J234)</f>
        <v>123.49259259259259</v>
      </c>
      <c r="H234" s="255">
        <f>(499.9+42.48)/3.6</f>
        <v>150.6611111111111</v>
      </c>
      <c r="I234" s="255">
        <f>443.43/3.6</f>
        <v>123.175</v>
      </c>
      <c r="J234" s="255">
        <f>347.91/3.6</f>
        <v>96.641666666666666</v>
      </c>
    </row>
    <row r="235" spans="1:10" s="77" customFormat="1">
      <c r="A235" s="80" t="s">
        <v>486</v>
      </c>
      <c r="B235" s="80">
        <v>7307</v>
      </c>
      <c r="C235" s="81" t="s">
        <v>824</v>
      </c>
      <c r="D235" s="80" t="s">
        <v>534</v>
      </c>
      <c r="E235" s="84">
        <v>0.13200000000000001</v>
      </c>
      <c r="F235" s="82">
        <v>47.63</v>
      </c>
    </row>
    <row r="236" spans="1:10" s="77" customFormat="1" ht="31.5">
      <c r="A236" s="135"/>
      <c r="B236" s="135" t="s">
        <v>825</v>
      </c>
      <c r="C236" s="136" t="s">
        <v>826</v>
      </c>
      <c r="D236" s="135" t="s">
        <v>482</v>
      </c>
      <c r="E236" s="137" t="s">
        <v>471</v>
      </c>
      <c r="F236" s="137">
        <f>E237*F237</f>
        <v>33.54</v>
      </c>
    </row>
    <row r="237" spans="1:10" s="77" customFormat="1">
      <c r="A237" s="80" t="s">
        <v>472</v>
      </c>
      <c r="B237" s="80" t="s">
        <v>654</v>
      </c>
      <c r="C237" s="81" t="s">
        <v>655</v>
      </c>
      <c r="D237" s="80" t="s">
        <v>475</v>
      </c>
      <c r="E237" s="82" t="s">
        <v>827</v>
      </c>
      <c r="F237" s="82">
        <v>27.95</v>
      </c>
    </row>
    <row r="238" spans="1:10" ht="36" customHeight="1">
      <c r="A238" s="135"/>
      <c r="B238" s="135" t="s">
        <v>565</v>
      </c>
      <c r="C238" s="136" t="s">
        <v>828</v>
      </c>
      <c r="D238" s="135" t="s">
        <v>482</v>
      </c>
      <c r="E238" s="137" t="s">
        <v>471</v>
      </c>
      <c r="F238" s="127">
        <f>(E239*F239)+(E240*F240)+(E241*F241)</f>
        <v>43.908000000000001</v>
      </c>
    </row>
    <row r="239" spans="1:10">
      <c r="A239" s="80" t="s">
        <v>486</v>
      </c>
      <c r="B239" s="80" t="s">
        <v>829</v>
      </c>
      <c r="C239" s="81" t="s">
        <v>830</v>
      </c>
      <c r="D239" s="80" t="s">
        <v>489</v>
      </c>
      <c r="E239" s="82" t="s">
        <v>717</v>
      </c>
      <c r="F239" s="82">
        <v>20.100000000000001</v>
      </c>
    </row>
    <row r="240" spans="1:10">
      <c r="A240" s="80" t="s">
        <v>472</v>
      </c>
      <c r="B240" s="80" t="s">
        <v>654</v>
      </c>
      <c r="C240" s="81" t="s">
        <v>655</v>
      </c>
      <c r="D240" s="80" t="s">
        <v>475</v>
      </c>
      <c r="E240" s="82" t="s">
        <v>730</v>
      </c>
      <c r="F240" s="82">
        <f>F237</f>
        <v>27.95</v>
      </c>
    </row>
    <row r="241" spans="1:6">
      <c r="A241" s="80" t="s">
        <v>472</v>
      </c>
      <c r="B241" s="80" t="s">
        <v>477</v>
      </c>
      <c r="C241" s="81" t="s">
        <v>478</v>
      </c>
      <c r="D241" s="80" t="s">
        <v>475</v>
      </c>
      <c r="E241" s="82" t="s">
        <v>730</v>
      </c>
      <c r="F241" s="82">
        <f>F232</f>
        <v>21.91</v>
      </c>
    </row>
    <row r="242" spans="1:6" ht="21.75" customHeight="1">
      <c r="A242" s="135"/>
      <c r="B242" s="135" t="s">
        <v>831</v>
      </c>
      <c r="C242" s="136" t="s">
        <v>832</v>
      </c>
      <c r="D242" s="135" t="s">
        <v>470</v>
      </c>
      <c r="E242" s="135" t="s">
        <v>471</v>
      </c>
      <c r="F242" s="137">
        <v>126.37</v>
      </c>
    </row>
    <row r="243" spans="1:6" ht="31.5">
      <c r="A243" s="80" t="s">
        <v>486</v>
      </c>
      <c r="B243" s="80" t="s">
        <v>786</v>
      </c>
      <c r="C243" s="81" t="s">
        <v>787</v>
      </c>
      <c r="D243" s="80" t="s">
        <v>541</v>
      </c>
      <c r="E243" s="80" t="s">
        <v>833</v>
      </c>
      <c r="F243" s="82" t="s">
        <v>471</v>
      </c>
    </row>
    <row r="244" spans="1:6">
      <c r="A244" s="80" t="s">
        <v>486</v>
      </c>
      <c r="B244" s="80" t="s">
        <v>834</v>
      </c>
      <c r="C244" s="81" t="s">
        <v>835</v>
      </c>
      <c r="D244" s="80" t="s">
        <v>489</v>
      </c>
      <c r="E244" s="80" t="s">
        <v>836</v>
      </c>
      <c r="F244" s="82" t="s">
        <v>471</v>
      </c>
    </row>
    <row r="245" spans="1:6">
      <c r="A245" s="80" t="s">
        <v>486</v>
      </c>
      <c r="B245" s="80" t="s">
        <v>837</v>
      </c>
      <c r="C245" s="81" t="s">
        <v>838</v>
      </c>
      <c r="D245" s="80" t="s">
        <v>541</v>
      </c>
      <c r="E245" s="80" t="s">
        <v>839</v>
      </c>
      <c r="F245" s="82" t="s">
        <v>471</v>
      </c>
    </row>
    <row r="246" spans="1:6" ht="31.5">
      <c r="A246" s="80" t="s">
        <v>486</v>
      </c>
      <c r="B246" s="80" t="s">
        <v>840</v>
      </c>
      <c r="C246" s="81" t="s">
        <v>841</v>
      </c>
      <c r="D246" s="80" t="s">
        <v>470</v>
      </c>
      <c r="E246" s="80" t="s">
        <v>842</v>
      </c>
      <c r="F246" s="82" t="s">
        <v>471</v>
      </c>
    </row>
    <row r="247" spans="1:6">
      <c r="A247" s="80" t="s">
        <v>472</v>
      </c>
      <c r="B247" s="80" t="s">
        <v>843</v>
      </c>
      <c r="C247" s="81" t="s">
        <v>844</v>
      </c>
      <c r="D247" s="80" t="s">
        <v>475</v>
      </c>
      <c r="E247" s="80" t="s">
        <v>845</v>
      </c>
      <c r="F247" s="82" t="s">
        <v>471</v>
      </c>
    </row>
    <row r="248" spans="1:6">
      <c r="A248" s="80" t="s">
        <v>472</v>
      </c>
      <c r="B248" s="80" t="s">
        <v>846</v>
      </c>
      <c r="C248" s="81" t="s">
        <v>847</v>
      </c>
      <c r="D248" s="80" t="s">
        <v>475</v>
      </c>
      <c r="E248" s="80" t="s">
        <v>848</v>
      </c>
      <c r="F248" s="82" t="s">
        <v>471</v>
      </c>
    </row>
    <row r="249" spans="1:6">
      <c r="A249" s="135"/>
      <c r="B249" s="135" t="s">
        <v>849</v>
      </c>
      <c r="C249" s="136" t="s">
        <v>850</v>
      </c>
      <c r="D249" s="135" t="s">
        <v>470</v>
      </c>
      <c r="E249" s="135" t="s">
        <v>471</v>
      </c>
      <c r="F249" s="137">
        <v>96.84</v>
      </c>
    </row>
    <row r="250" spans="1:6" ht="19.5" customHeight="1">
      <c r="A250" s="80" t="s">
        <v>486</v>
      </c>
      <c r="B250" s="80" t="s">
        <v>851</v>
      </c>
      <c r="C250" s="81" t="s">
        <v>852</v>
      </c>
      <c r="D250" s="80" t="s">
        <v>489</v>
      </c>
      <c r="E250" s="80" t="s">
        <v>853</v>
      </c>
      <c r="F250" s="82" t="s">
        <v>471</v>
      </c>
    </row>
    <row r="251" spans="1:6" ht="31.5">
      <c r="A251" s="80" t="s">
        <v>486</v>
      </c>
      <c r="B251" s="80" t="s">
        <v>786</v>
      </c>
      <c r="C251" s="81" t="s">
        <v>787</v>
      </c>
      <c r="D251" s="80" t="s">
        <v>541</v>
      </c>
      <c r="E251" s="80" t="s">
        <v>854</v>
      </c>
      <c r="F251" s="82" t="s">
        <v>471</v>
      </c>
    </row>
    <row r="252" spans="1:6">
      <c r="A252" s="80" t="s">
        <v>486</v>
      </c>
      <c r="B252" s="80" t="s">
        <v>837</v>
      </c>
      <c r="C252" s="81" t="s">
        <v>838</v>
      </c>
      <c r="D252" s="80" t="s">
        <v>541</v>
      </c>
      <c r="E252" s="80" t="s">
        <v>839</v>
      </c>
      <c r="F252" s="82" t="s">
        <v>471</v>
      </c>
    </row>
    <row r="253" spans="1:6">
      <c r="A253" s="80" t="s">
        <v>486</v>
      </c>
      <c r="B253" s="80" t="s">
        <v>855</v>
      </c>
      <c r="C253" s="81" t="s">
        <v>856</v>
      </c>
      <c r="D253" s="80" t="s">
        <v>489</v>
      </c>
      <c r="E253" s="80" t="s">
        <v>857</v>
      </c>
      <c r="F253" s="82" t="s">
        <v>471</v>
      </c>
    </row>
    <row r="254" spans="1:6">
      <c r="A254" s="80" t="s">
        <v>472</v>
      </c>
      <c r="B254" s="80" t="s">
        <v>843</v>
      </c>
      <c r="C254" s="81" t="s">
        <v>844</v>
      </c>
      <c r="D254" s="80" t="s">
        <v>475</v>
      </c>
      <c r="E254" s="80" t="s">
        <v>858</v>
      </c>
      <c r="F254" s="82" t="s">
        <v>471</v>
      </c>
    </row>
    <row r="255" spans="1:6" s="77" customFormat="1">
      <c r="A255" s="80" t="s">
        <v>472</v>
      </c>
      <c r="B255" s="80" t="s">
        <v>846</v>
      </c>
      <c r="C255" s="81" t="s">
        <v>847</v>
      </c>
      <c r="D255" s="80" t="s">
        <v>475</v>
      </c>
      <c r="E255" s="80" t="s">
        <v>859</v>
      </c>
      <c r="F255" s="82" t="s">
        <v>471</v>
      </c>
    </row>
    <row r="256" spans="1:6">
      <c r="A256" s="135"/>
      <c r="B256" s="135" t="s">
        <v>565</v>
      </c>
      <c r="C256" s="136" t="s">
        <v>860</v>
      </c>
      <c r="D256" s="135" t="s">
        <v>482</v>
      </c>
      <c r="E256" s="135" t="s">
        <v>471</v>
      </c>
      <c r="F256" s="137">
        <f>(E257*F257)+(E258*F258)+(E259*F259)+(E260*F260)+(E261*F261)</f>
        <v>186.99098899999996</v>
      </c>
    </row>
    <row r="257" spans="1:6">
      <c r="A257" s="80" t="s">
        <v>486</v>
      </c>
      <c r="B257" s="80" t="s">
        <v>861</v>
      </c>
      <c r="C257" s="81" t="s">
        <v>862</v>
      </c>
      <c r="D257" s="80" t="s">
        <v>489</v>
      </c>
      <c r="E257" s="80" t="s">
        <v>863</v>
      </c>
      <c r="F257" s="82">
        <v>38.89</v>
      </c>
    </row>
    <row r="258" spans="1:6" ht="31.5">
      <c r="A258" s="80" t="s">
        <v>486</v>
      </c>
      <c r="B258" s="121">
        <v>3286</v>
      </c>
      <c r="C258" s="81" t="s">
        <v>864</v>
      </c>
      <c r="D258" s="80" t="s">
        <v>482</v>
      </c>
      <c r="E258" s="80" t="s">
        <v>865</v>
      </c>
      <c r="F258" s="82">
        <f>66.44*2</f>
        <v>132.88</v>
      </c>
    </row>
    <row r="259" spans="1:6">
      <c r="A259" s="80" t="s">
        <v>486</v>
      </c>
      <c r="B259" s="80" t="s">
        <v>866</v>
      </c>
      <c r="C259" s="81" t="s">
        <v>867</v>
      </c>
      <c r="D259" s="80" t="s">
        <v>489</v>
      </c>
      <c r="E259" s="80" t="s">
        <v>868</v>
      </c>
      <c r="F259" s="82">
        <v>45.44</v>
      </c>
    </row>
    <row r="260" spans="1:6">
      <c r="A260" s="80" t="s">
        <v>472</v>
      </c>
      <c r="B260" s="80" t="s">
        <v>477</v>
      </c>
      <c r="C260" s="81" t="s">
        <v>478</v>
      </c>
      <c r="D260" s="80" t="s">
        <v>475</v>
      </c>
      <c r="E260" s="80" t="s">
        <v>869</v>
      </c>
      <c r="F260" s="82">
        <f>F241</f>
        <v>21.91</v>
      </c>
    </row>
    <row r="261" spans="1:6">
      <c r="A261" s="80" t="s">
        <v>472</v>
      </c>
      <c r="B261" s="80" t="s">
        <v>870</v>
      </c>
      <c r="C261" s="81" t="s">
        <v>871</v>
      </c>
      <c r="D261" s="80" t="s">
        <v>475</v>
      </c>
      <c r="E261" s="80" t="s">
        <v>872</v>
      </c>
      <c r="F261" s="82">
        <f>29.14</f>
        <v>29.14</v>
      </c>
    </row>
    <row r="262" spans="1:6" ht="31.5">
      <c r="A262" s="135"/>
      <c r="B262" s="135" t="s">
        <v>565</v>
      </c>
      <c r="C262" s="136" t="s">
        <v>873</v>
      </c>
      <c r="D262" s="135" t="s">
        <v>482</v>
      </c>
      <c r="E262" s="135" t="s">
        <v>471</v>
      </c>
      <c r="F262" s="137">
        <f>(E263*F263)+(E264*F264)+(E265*F265)+(E266*F266)</f>
        <v>294.99400000000003</v>
      </c>
    </row>
    <row r="263" spans="1:6" ht="31.5">
      <c r="A263" s="80" t="s">
        <v>486</v>
      </c>
      <c r="B263" s="80" t="s">
        <v>874</v>
      </c>
      <c r="C263" s="81" t="s">
        <v>875</v>
      </c>
      <c r="D263" s="80" t="s">
        <v>541</v>
      </c>
      <c r="E263" s="82" t="s">
        <v>876</v>
      </c>
      <c r="F263" s="82">
        <v>7.83</v>
      </c>
    </row>
    <row r="264" spans="1:6">
      <c r="A264" s="80" t="s">
        <v>486</v>
      </c>
      <c r="B264" s="80" t="s">
        <v>877</v>
      </c>
      <c r="C264" s="81" t="s">
        <v>878</v>
      </c>
      <c r="D264" s="80" t="s">
        <v>482</v>
      </c>
      <c r="E264" s="82" t="s">
        <v>569</v>
      </c>
      <c r="F264" s="82">
        <v>200.43</v>
      </c>
    </row>
    <row r="265" spans="1:6">
      <c r="A265" s="80" t="s">
        <v>472</v>
      </c>
      <c r="B265" s="80" t="s">
        <v>477</v>
      </c>
      <c r="C265" s="81" t="s">
        <v>478</v>
      </c>
      <c r="D265" s="80" t="s">
        <v>475</v>
      </c>
      <c r="E265" s="82" t="s">
        <v>711</v>
      </c>
      <c r="F265" s="82">
        <f>F260</f>
        <v>21.91</v>
      </c>
    </row>
    <row r="266" spans="1:6">
      <c r="A266" s="80" t="s">
        <v>472</v>
      </c>
      <c r="B266" s="80" t="s">
        <v>879</v>
      </c>
      <c r="C266" s="81" t="s">
        <v>880</v>
      </c>
      <c r="D266" s="80" t="s">
        <v>475</v>
      </c>
      <c r="E266" s="82" t="s">
        <v>881</v>
      </c>
      <c r="F266" s="82">
        <v>27.24</v>
      </c>
    </row>
    <row r="267" spans="1:6" ht="31.5">
      <c r="A267" s="135"/>
      <c r="B267" s="135">
        <v>88788</v>
      </c>
      <c r="C267" s="136" t="s">
        <v>882</v>
      </c>
      <c r="D267" s="135" t="s">
        <v>482</v>
      </c>
      <c r="E267" s="135" t="s">
        <v>471</v>
      </c>
      <c r="F267" s="137">
        <v>261.54000000000002</v>
      </c>
    </row>
    <row r="268" spans="1:6" ht="31.5">
      <c r="A268" s="80" t="s">
        <v>486</v>
      </c>
      <c r="B268" s="121" t="s">
        <v>883</v>
      </c>
      <c r="C268" s="81" t="s">
        <v>884</v>
      </c>
      <c r="D268" s="80" t="s">
        <v>482</v>
      </c>
      <c r="E268" s="80" t="s">
        <v>501</v>
      </c>
      <c r="F268" s="82" t="s">
        <v>471</v>
      </c>
    </row>
    <row r="269" spans="1:6">
      <c r="A269" s="80" t="s">
        <v>486</v>
      </c>
      <c r="B269" s="80" t="s">
        <v>885</v>
      </c>
      <c r="C269" s="81" t="s">
        <v>886</v>
      </c>
      <c r="D269" s="80" t="s">
        <v>489</v>
      </c>
      <c r="E269" s="80" t="s">
        <v>887</v>
      </c>
      <c r="F269" s="82" t="s">
        <v>471</v>
      </c>
    </row>
    <row r="270" spans="1:6">
      <c r="A270" s="80" t="s">
        <v>472</v>
      </c>
      <c r="B270" s="80" t="s">
        <v>473</v>
      </c>
      <c r="C270" s="81" t="s">
        <v>474</v>
      </c>
      <c r="D270" s="80" t="s">
        <v>475</v>
      </c>
      <c r="E270" s="80" t="s">
        <v>888</v>
      </c>
      <c r="F270" s="82" t="s">
        <v>471</v>
      </c>
    </row>
    <row r="271" spans="1:6">
      <c r="A271" s="80" t="s">
        <v>472</v>
      </c>
      <c r="B271" s="80" t="s">
        <v>477</v>
      </c>
      <c r="C271" s="81" t="s">
        <v>478</v>
      </c>
      <c r="D271" s="80" t="s">
        <v>475</v>
      </c>
      <c r="E271" s="80" t="s">
        <v>889</v>
      </c>
      <c r="F271" s="82" t="s">
        <v>471</v>
      </c>
    </row>
    <row r="272" spans="1:6" ht="63">
      <c r="A272" s="135"/>
      <c r="B272" s="135">
        <v>87265</v>
      </c>
      <c r="C272" s="136" t="s">
        <v>890</v>
      </c>
      <c r="D272" s="135" t="s">
        <v>482</v>
      </c>
      <c r="E272" s="135" t="s">
        <v>471</v>
      </c>
      <c r="F272" s="137">
        <v>57.66</v>
      </c>
    </row>
    <row r="273" spans="1:6" ht="31.5">
      <c r="A273" s="80" t="s">
        <v>486</v>
      </c>
      <c r="B273" s="80" t="s">
        <v>891</v>
      </c>
      <c r="C273" s="81" t="s">
        <v>892</v>
      </c>
      <c r="D273" s="80" t="s">
        <v>482</v>
      </c>
      <c r="E273" s="80" t="s">
        <v>893</v>
      </c>
      <c r="F273" s="82" t="s">
        <v>471</v>
      </c>
    </row>
    <row r="274" spans="1:6">
      <c r="A274" s="80" t="s">
        <v>486</v>
      </c>
      <c r="B274" s="80" t="s">
        <v>894</v>
      </c>
      <c r="C274" s="81" t="s">
        <v>895</v>
      </c>
      <c r="D274" s="80" t="s">
        <v>489</v>
      </c>
      <c r="E274" s="80" t="s">
        <v>896</v>
      </c>
      <c r="F274" s="82" t="s">
        <v>471</v>
      </c>
    </row>
    <row r="275" spans="1:6">
      <c r="A275" s="80" t="s">
        <v>486</v>
      </c>
      <c r="B275" s="80" t="s">
        <v>487</v>
      </c>
      <c r="C275" s="81" t="s">
        <v>488</v>
      </c>
      <c r="D275" s="80" t="s">
        <v>489</v>
      </c>
      <c r="E275" s="80" t="s">
        <v>897</v>
      </c>
      <c r="F275" s="82" t="s">
        <v>471</v>
      </c>
    </row>
    <row r="276" spans="1:6">
      <c r="A276" s="80" t="s">
        <v>472</v>
      </c>
      <c r="B276" s="80" t="s">
        <v>473</v>
      </c>
      <c r="C276" s="81" t="s">
        <v>474</v>
      </c>
      <c r="D276" s="80" t="s">
        <v>475</v>
      </c>
      <c r="E276" s="80" t="s">
        <v>898</v>
      </c>
      <c r="F276" s="82" t="s">
        <v>471</v>
      </c>
    </row>
    <row r="277" spans="1:6">
      <c r="A277" s="80" t="s">
        <v>472</v>
      </c>
      <c r="B277" s="80" t="s">
        <v>477</v>
      </c>
      <c r="C277" s="81" t="s">
        <v>478</v>
      </c>
      <c r="D277" s="80" t="s">
        <v>475</v>
      </c>
      <c r="E277" s="80" t="s">
        <v>899</v>
      </c>
      <c r="F277" s="82" t="s">
        <v>471</v>
      </c>
    </row>
    <row r="278" spans="1:6" ht="45" customHeight="1">
      <c r="A278" s="144"/>
      <c r="B278" s="156">
        <v>98556</v>
      </c>
      <c r="C278" s="133" t="s">
        <v>900</v>
      </c>
      <c r="D278" s="156" t="s">
        <v>482</v>
      </c>
      <c r="E278" s="144"/>
      <c r="F278" s="137">
        <v>54.57</v>
      </c>
    </row>
    <row r="279" spans="1:6" ht="31.5">
      <c r="A279" s="83" t="s">
        <v>486</v>
      </c>
      <c r="B279" s="83" t="s">
        <v>901</v>
      </c>
      <c r="C279" s="86" t="s">
        <v>902</v>
      </c>
      <c r="D279" s="80" t="s">
        <v>489</v>
      </c>
      <c r="E279" s="80" t="s">
        <v>903</v>
      </c>
      <c r="F279" s="82"/>
    </row>
    <row r="280" spans="1:6">
      <c r="A280" s="83" t="s">
        <v>486</v>
      </c>
      <c r="B280" s="83" t="s">
        <v>904</v>
      </c>
      <c r="C280" s="86" t="s">
        <v>905</v>
      </c>
      <c r="D280" s="80" t="s">
        <v>482</v>
      </c>
      <c r="E280" s="80" t="s">
        <v>906</v>
      </c>
      <c r="F280" s="82"/>
    </row>
    <row r="281" spans="1:6">
      <c r="A281" s="83" t="s">
        <v>472</v>
      </c>
      <c r="B281" s="83" t="s">
        <v>907</v>
      </c>
      <c r="C281" s="86" t="s">
        <v>598</v>
      </c>
      <c r="D281" s="80" t="s">
        <v>475</v>
      </c>
      <c r="E281" s="80" t="s">
        <v>908</v>
      </c>
      <c r="F281" s="82"/>
    </row>
    <row r="282" spans="1:6">
      <c r="A282" s="83" t="s">
        <v>472</v>
      </c>
      <c r="B282" s="83" t="s">
        <v>758</v>
      </c>
      <c r="C282" s="86" t="s">
        <v>599</v>
      </c>
      <c r="D282" s="80" t="s">
        <v>475</v>
      </c>
      <c r="E282" s="80" t="s">
        <v>909</v>
      </c>
      <c r="F282" s="82"/>
    </row>
    <row r="283" spans="1:6" ht="31.5">
      <c r="A283" s="136"/>
      <c r="B283" s="135" t="s">
        <v>565</v>
      </c>
      <c r="C283" s="136" t="s">
        <v>910</v>
      </c>
      <c r="D283" s="135" t="s">
        <v>482</v>
      </c>
      <c r="E283" s="135"/>
      <c r="F283" s="137">
        <f>(E284*F284)+(E285*F285)+(E286*F286)+(E287*F287)+(E288*F288)</f>
        <v>68.345400000000012</v>
      </c>
    </row>
    <row r="284" spans="1:6">
      <c r="A284" s="80" t="s">
        <v>486</v>
      </c>
      <c r="B284" s="83">
        <v>7353</v>
      </c>
      <c r="C284" s="81" t="s">
        <v>911</v>
      </c>
      <c r="D284" s="80" t="s">
        <v>534</v>
      </c>
      <c r="E284" s="85">
        <v>0.25</v>
      </c>
      <c r="F284" s="82">
        <v>34.119999999999997</v>
      </c>
    </row>
    <row r="285" spans="1:6">
      <c r="A285" s="80" t="s">
        <v>472</v>
      </c>
      <c r="B285" s="80" t="s">
        <v>758</v>
      </c>
      <c r="C285" s="81" t="s">
        <v>599</v>
      </c>
      <c r="D285" s="80" t="s">
        <v>475</v>
      </c>
      <c r="E285" s="82" t="s">
        <v>827</v>
      </c>
      <c r="F285" s="82">
        <v>29.53</v>
      </c>
    </row>
    <row r="286" spans="1:6">
      <c r="A286" s="80" t="s">
        <v>472</v>
      </c>
      <c r="B286" s="80" t="s">
        <v>477</v>
      </c>
      <c r="C286" s="81" t="s">
        <v>478</v>
      </c>
      <c r="D286" s="80" t="s">
        <v>475</v>
      </c>
      <c r="E286" s="88">
        <v>1.1000000000000001</v>
      </c>
      <c r="F286" s="82">
        <v>21.91</v>
      </c>
    </row>
    <row r="287" spans="1:6">
      <c r="A287" s="80" t="s">
        <v>486</v>
      </c>
      <c r="B287" s="80">
        <v>3768</v>
      </c>
      <c r="C287" s="81" t="s">
        <v>725</v>
      </c>
      <c r="D287" s="80" t="s">
        <v>541</v>
      </c>
      <c r="E287" s="85">
        <v>0.06</v>
      </c>
      <c r="F287" s="82">
        <v>3.94</v>
      </c>
    </row>
    <row r="288" spans="1:6" ht="31.5">
      <c r="A288" s="80" t="s">
        <v>486</v>
      </c>
      <c r="B288" s="80">
        <v>104519</v>
      </c>
      <c r="C288" s="81" t="s">
        <v>912</v>
      </c>
      <c r="D288" s="80" t="s">
        <v>475</v>
      </c>
      <c r="E288" s="85">
        <v>0.1</v>
      </c>
      <c r="F288" s="82">
        <v>0.42</v>
      </c>
    </row>
    <row r="289" spans="1:8" s="79" customFormat="1" ht="41.25" customHeight="1">
      <c r="A289" s="135"/>
      <c r="B289" s="135" t="s">
        <v>565</v>
      </c>
      <c r="C289" s="136" t="s">
        <v>913</v>
      </c>
      <c r="D289" s="135" t="s">
        <v>482</v>
      </c>
      <c r="E289" s="137" t="s">
        <v>471</v>
      </c>
      <c r="F289" s="137">
        <f>(E290*F290)+(E291*F291)+(E292*F292)+(E293*F293)</f>
        <v>234.65000000000003</v>
      </c>
    </row>
    <row r="290" spans="1:8" s="79" customFormat="1">
      <c r="A290" s="80" t="s">
        <v>486</v>
      </c>
      <c r="B290" s="80" t="s">
        <v>914</v>
      </c>
      <c r="C290" s="81" t="s">
        <v>915</v>
      </c>
      <c r="D290" s="80" t="s">
        <v>489</v>
      </c>
      <c r="E290" s="82" t="s">
        <v>916</v>
      </c>
      <c r="F290" s="82">
        <v>4.45</v>
      </c>
    </row>
    <row r="291" spans="1:8" s="79" customFormat="1">
      <c r="A291" s="80" t="s">
        <v>486</v>
      </c>
      <c r="B291" s="80" t="s">
        <v>917</v>
      </c>
      <c r="C291" s="81" t="s">
        <v>918</v>
      </c>
      <c r="D291" s="80" t="s">
        <v>482</v>
      </c>
      <c r="E291" s="82" t="s">
        <v>569</v>
      </c>
      <c r="F291" s="82">
        <v>203.4</v>
      </c>
    </row>
    <row r="292" spans="1:8" s="79" customFormat="1">
      <c r="A292" s="80" t="s">
        <v>472</v>
      </c>
      <c r="B292" s="80">
        <v>88316</v>
      </c>
      <c r="C292" s="81" t="s">
        <v>478</v>
      </c>
      <c r="D292" s="80" t="s">
        <v>475</v>
      </c>
      <c r="E292" s="82" t="s">
        <v>735</v>
      </c>
      <c r="F292" s="82">
        <f>F300</f>
        <v>21.91</v>
      </c>
    </row>
    <row r="293" spans="1:8" s="79" customFormat="1">
      <c r="A293" s="80" t="s">
        <v>472</v>
      </c>
      <c r="B293" s="80" t="s">
        <v>879</v>
      </c>
      <c r="C293" s="81" t="s">
        <v>880</v>
      </c>
      <c r="D293" s="80" t="s">
        <v>475</v>
      </c>
      <c r="E293" s="82" t="s">
        <v>735</v>
      </c>
      <c r="F293" s="82">
        <f>F301</f>
        <v>27.24</v>
      </c>
    </row>
    <row r="294" spans="1:8" s="79" customFormat="1" ht="21" customHeight="1">
      <c r="A294" s="135"/>
      <c r="B294" s="135" t="s">
        <v>565</v>
      </c>
      <c r="C294" s="136" t="s">
        <v>919</v>
      </c>
      <c r="D294" s="135" t="s">
        <v>482</v>
      </c>
      <c r="E294" s="135" t="s">
        <v>471</v>
      </c>
      <c r="F294" s="137">
        <f>(E295*F295)+(E296*F296)+(E297*F297)+(E298*F298)+(E299*F299)+(E300*F300)+(E301*F301)</f>
        <v>492.97194000000002</v>
      </c>
    </row>
    <row r="295" spans="1:8" s="79" customFormat="1" ht="31.5">
      <c r="A295" s="80" t="s">
        <v>486</v>
      </c>
      <c r="B295" s="80">
        <v>34391</v>
      </c>
      <c r="C295" s="81" t="s">
        <v>920</v>
      </c>
      <c r="D295" s="80" t="s">
        <v>482</v>
      </c>
      <c r="E295" s="82" t="s">
        <v>569</v>
      </c>
      <c r="F295" s="82">
        <v>334.74</v>
      </c>
    </row>
    <row r="296" spans="1:8" s="79" customFormat="1" ht="31.5">
      <c r="A296" s="80" t="s">
        <v>486</v>
      </c>
      <c r="B296" s="80" t="s">
        <v>921</v>
      </c>
      <c r="C296" s="81" t="s">
        <v>922</v>
      </c>
      <c r="D296" s="80" t="s">
        <v>541</v>
      </c>
      <c r="E296" s="85">
        <v>2</v>
      </c>
      <c r="F296" s="82">
        <v>0.37</v>
      </c>
    </row>
    <row r="297" spans="1:8" s="79" customFormat="1">
      <c r="A297" s="80" t="s">
        <v>486</v>
      </c>
      <c r="B297" s="80" t="s">
        <v>923</v>
      </c>
      <c r="C297" s="81" t="s">
        <v>924</v>
      </c>
      <c r="D297" s="80" t="s">
        <v>470</v>
      </c>
      <c r="E297" s="82" t="s">
        <v>925</v>
      </c>
      <c r="F297" s="82">
        <v>15</v>
      </c>
    </row>
    <row r="298" spans="1:8" s="79" customFormat="1">
      <c r="A298" s="80" t="s">
        <v>486</v>
      </c>
      <c r="B298" s="80" t="s">
        <v>855</v>
      </c>
      <c r="C298" s="81" t="s">
        <v>856</v>
      </c>
      <c r="D298" s="80" t="s">
        <v>489</v>
      </c>
      <c r="E298" s="82" t="s">
        <v>780</v>
      </c>
      <c r="F298" s="82">
        <v>39.14</v>
      </c>
    </row>
    <row r="299" spans="1:8" s="79" customFormat="1" ht="31.5">
      <c r="A299" s="80" t="s">
        <v>486</v>
      </c>
      <c r="B299" s="80" t="s">
        <v>614</v>
      </c>
      <c r="C299" s="81" t="s">
        <v>615</v>
      </c>
      <c r="D299" s="80" t="s">
        <v>470</v>
      </c>
      <c r="E299" s="82" t="s">
        <v>926</v>
      </c>
      <c r="F299" s="82">
        <v>2.4900000000000002</v>
      </c>
    </row>
    <row r="300" spans="1:8" s="79" customFormat="1">
      <c r="A300" s="80" t="s">
        <v>472</v>
      </c>
      <c r="B300" s="80" t="s">
        <v>477</v>
      </c>
      <c r="C300" s="81" t="s">
        <v>478</v>
      </c>
      <c r="D300" s="80" t="s">
        <v>475</v>
      </c>
      <c r="E300" s="82" t="s">
        <v>927</v>
      </c>
      <c r="F300" s="82">
        <f>F286</f>
        <v>21.91</v>
      </c>
    </row>
    <row r="301" spans="1:8" s="79" customFormat="1">
      <c r="A301" s="80" t="s">
        <v>472</v>
      </c>
      <c r="B301" s="80" t="s">
        <v>879</v>
      </c>
      <c r="C301" s="81" t="s">
        <v>880</v>
      </c>
      <c r="D301" s="80" t="s">
        <v>475</v>
      </c>
      <c r="E301" s="82" t="s">
        <v>928</v>
      </c>
      <c r="F301" s="82">
        <v>27.24</v>
      </c>
    </row>
    <row r="302" spans="1:8" s="79" customFormat="1" ht="31.5">
      <c r="A302" s="135"/>
      <c r="B302" s="135" t="s">
        <v>511</v>
      </c>
      <c r="C302" s="136" t="s">
        <v>929</v>
      </c>
      <c r="D302" s="135" t="s">
        <v>135</v>
      </c>
      <c r="E302" s="137" t="s">
        <v>471</v>
      </c>
      <c r="F302" s="137">
        <f>(E303*F303)+(E304*F304)+(E305*F305)+(E306*F306)</f>
        <v>10604.019999999999</v>
      </c>
      <c r="H302" s="77" t="s">
        <v>930</v>
      </c>
    </row>
    <row r="303" spans="1:8" s="79" customFormat="1">
      <c r="A303" s="89" t="s">
        <v>486</v>
      </c>
      <c r="B303" s="1" t="s">
        <v>931</v>
      </c>
      <c r="C303" s="30" t="s">
        <v>932</v>
      </c>
      <c r="D303" s="1" t="s">
        <v>933</v>
      </c>
      <c r="E303" s="87">
        <v>1</v>
      </c>
      <c r="F303" s="82">
        <f>F308</f>
        <v>272.5</v>
      </c>
    </row>
    <row r="304" spans="1:8" s="79" customFormat="1">
      <c r="A304" s="80" t="s">
        <v>934</v>
      </c>
      <c r="B304" s="80">
        <v>44329</v>
      </c>
      <c r="C304" s="81" t="s">
        <v>935</v>
      </c>
      <c r="D304" s="80" t="s">
        <v>534</v>
      </c>
      <c r="E304" s="147">
        <v>20</v>
      </c>
      <c r="F304" s="80">
        <v>11.12</v>
      </c>
    </row>
    <row r="305" spans="1:8" s="79" customFormat="1">
      <c r="A305" s="80" t="s">
        <v>934</v>
      </c>
      <c r="B305" s="80">
        <v>88252</v>
      </c>
      <c r="C305" s="81" t="s">
        <v>936</v>
      </c>
      <c r="D305" s="80" t="s">
        <v>475</v>
      </c>
      <c r="E305" s="147">
        <f>8*14*4</f>
        <v>448</v>
      </c>
      <c r="F305" s="80">
        <v>21.77</v>
      </c>
    </row>
    <row r="306" spans="1:8" s="79" customFormat="1">
      <c r="A306" s="80" t="s">
        <v>934</v>
      </c>
      <c r="B306" s="80">
        <v>99833</v>
      </c>
      <c r="C306" s="81" t="s">
        <v>937</v>
      </c>
      <c r="D306" s="80" t="s">
        <v>524</v>
      </c>
      <c r="E306" s="147">
        <f>8*14*2</f>
        <v>224</v>
      </c>
      <c r="F306" s="80">
        <v>1.59</v>
      </c>
    </row>
    <row r="307" spans="1:8" s="77" customFormat="1">
      <c r="A307" s="149"/>
      <c r="B307" s="135" t="s">
        <v>511</v>
      </c>
      <c r="C307" s="136" t="s">
        <v>938</v>
      </c>
      <c r="D307" s="149" t="s">
        <v>482</v>
      </c>
      <c r="E307" s="149"/>
      <c r="F307" s="137">
        <f>(E308*F308)+(E309*F309)+(E310*F310)+(E311*F311)+(E312*F312)+(E313*F313)+(E314*F314)+(E315*F315)</f>
        <v>180.603194</v>
      </c>
    </row>
    <row r="308" spans="1:8" s="77" customFormat="1">
      <c r="A308" s="89" t="s">
        <v>486</v>
      </c>
      <c r="B308" s="1" t="s">
        <v>931</v>
      </c>
      <c r="C308" s="30" t="s">
        <v>932</v>
      </c>
      <c r="D308" s="1" t="s">
        <v>933</v>
      </c>
      <c r="E308" s="150">
        <v>0.09</v>
      </c>
      <c r="F308" s="221">
        <v>272.5</v>
      </c>
    </row>
    <row r="309" spans="1:8" s="77" customFormat="1">
      <c r="A309" s="89" t="s">
        <v>472</v>
      </c>
      <c r="B309" s="1">
        <v>104519</v>
      </c>
      <c r="C309" s="95" t="s">
        <v>939</v>
      </c>
      <c r="D309" s="1" t="s">
        <v>475</v>
      </c>
      <c r="E309" s="87">
        <v>1.6E-2</v>
      </c>
      <c r="F309" s="221">
        <f>F288</f>
        <v>0.42</v>
      </c>
      <c r="H309" s="148"/>
    </row>
    <row r="310" spans="1:8" s="77" customFormat="1">
      <c r="A310" s="89" t="s">
        <v>486</v>
      </c>
      <c r="B310" s="1">
        <v>3768</v>
      </c>
      <c r="C310" s="95" t="s">
        <v>725</v>
      </c>
      <c r="D310" s="1" t="s">
        <v>3</v>
      </c>
      <c r="E310" s="87">
        <v>0.3</v>
      </c>
      <c r="F310" s="221">
        <f>F287</f>
        <v>3.94</v>
      </c>
      <c r="H310"/>
    </row>
    <row r="311" spans="1:8" s="77" customFormat="1">
      <c r="A311" s="89" t="s">
        <v>486</v>
      </c>
      <c r="B311" s="89" t="s">
        <v>712</v>
      </c>
      <c r="C311" s="90" t="s">
        <v>940</v>
      </c>
      <c r="D311" s="89" t="s">
        <v>534</v>
      </c>
      <c r="E311" s="87">
        <f>0.011+0.0624+0.0624</f>
        <v>0.13579999999999998</v>
      </c>
      <c r="F311" s="221">
        <v>17.98</v>
      </c>
    </row>
    <row r="312" spans="1:8" s="77" customFormat="1">
      <c r="A312" s="89" t="s">
        <v>486</v>
      </c>
      <c r="B312" s="89" t="s">
        <v>941</v>
      </c>
      <c r="C312" s="90" t="s">
        <v>824</v>
      </c>
      <c r="D312" s="89" t="s">
        <v>534</v>
      </c>
      <c r="E312" s="87" t="s">
        <v>942</v>
      </c>
      <c r="F312" s="221">
        <v>47.63</v>
      </c>
    </row>
    <row r="313" spans="1:8" s="77" customFormat="1" ht="27.75" customHeight="1">
      <c r="A313" s="89" t="s">
        <v>486</v>
      </c>
      <c r="B313" s="89" t="s">
        <v>727</v>
      </c>
      <c r="C313" s="90" t="s">
        <v>943</v>
      </c>
      <c r="D313" s="89" t="s">
        <v>534</v>
      </c>
      <c r="E313" s="87">
        <f>0.2078*2</f>
        <v>0.41560000000000002</v>
      </c>
      <c r="F313" s="221">
        <v>48.85</v>
      </c>
    </row>
    <row r="314" spans="1:8" s="77" customFormat="1">
      <c r="A314" s="1" t="s">
        <v>944</v>
      </c>
      <c r="B314" s="1">
        <v>100718</v>
      </c>
      <c r="C314" s="90" t="s">
        <v>945</v>
      </c>
      <c r="D314" s="1" t="s">
        <v>24</v>
      </c>
      <c r="E314" s="150">
        <v>1.5</v>
      </c>
      <c r="F314" s="221">
        <v>1.42</v>
      </c>
    </row>
    <row r="315" spans="1:8" s="77" customFormat="1">
      <c r="A315" s="1" t="s">
        <v>944</v>
      </c>
      <c r="B315" s="1">
        <v>88310</v>
      </c>
      <c r="C315" s="95" t="s">
        <v>547</v>
      </c>
      <c r="D315" s="1" t="s">
        <v>946</v>
      </c>
      <c r="E315" s="150">
        <f>(0.2986*2)+(0.6779*2)+(0.5266*4)</f>
        <v>4.0594000000000001</v>
      </c>
      <c r="F315" s="221">
        <v>30.74</v>
      </c>
    </row>
    <row r="316" spans="1:8" ht="18.75" customHeight="1">
      <c r="A316" s="151"/>
      <c r="B316" s="151" t="s">
        <v>565</v>
      </c>
      <c r="C316" s="133" t="s">
        <v>947</v>
      </c>
      <c r="D316" s="151" t="s">
        <v>948</v>
      </c>
      <c r="E316" s="151"/>
      <c r="F316" s="137">
        <f>(E317*F317)+(E318*F318)+(E319*F319)+(E320*F320)+(E321*F321)+(E322*F322)+(E323*F323)+(E324*F324)+(E325*F325)+(E326*F326)+(E327*F327)+(E328*F328)+(E329*F329)</f>
        <v>9590.8399559999998</v>
      </c>
    </row>
    <row r="317" spans="1:8">
      <c r="A317" s="1" t="s">
        <v>944</v>
      </c>
      <c r="B317" s="1">
        <v>92265</v>
      </c>
      <c r="C317" s="95" t="s">
        <v>949</v>
      </c>
      <c r="D317" s="1" t="s">
        <v>950</v>
      </c>
      <c r="E317" s="150">
        <f>(1.5*0.5*2)+(0.4*0.5*2)</f>
        <v>1.9</v>
      </c>
      <c r="F317" s="221">
        <v>119.12</v>
      </c>
    </row>
    <row r="318" spans="1:8">
      <c r="A318" s="1" t="s">
        <v>944</v>
      </c>
      <c r="B318" s="1">
        <v>92917</v>
      </c>
      <c r="C318" s="95" t="s">
        <v>951</v>
      </c>
      <c r="D318" s="1" t="s">
        <v>15</v>
      </c>
      <c r="E318" s="150">
        <v>20</v>
      </c>
      <c r="F318" s="221">
        <v>16.63</v>
      </c>
    </row>
    <row r="319" spans="1:8">
      <c r="A319" s="1" t="s">
        <v>944</v>
      </c>
      <c r="B319" s="1">
        <v>96555</v>
      </c>
      <c r="C319" s="95" t="s">
        <v>952</v>
      </c>
      <c r="D319" s="1" t="s">
        <v>953</v>
      </c>
      <c r="E319" s="150">
        <v>1.2</v>
      </c>
      <c r="F319" s="221">
        <v>810.77</v>
      </c>
    </row>
    <row r="320" spans="1:8">
      <c r="A320" s="89" t="s">
        <v>486</v>
      </c>
      <c r="B320" s="1">
        <v>11002</v>
      </c>
      <c r="C320" s="95" t="s">
        <v>954</v>
      </c>
      <c r="D320" s="1" t="s">
        <v>15</v>
      </c>
      <c r="E320" s="150">
        <v>2</v>
      </c>
      <c r="F320" s="221">
        <v>38.409999999999997</v>
      </c>
    </row>
    <row r="321" spans="1:8" ht="47.25">
      <c r="A321" s="89" t="s">
        <v>486</v>
      </c>
      <c r="B321" s="1">
        <v>38179</v>
      </c>
      <c r="C321" s="95" t="s">
        <v>955</v>
      </c>
      <c r="D321" s="1" t="s">
        <v>3</v>
      </c>
      <c r="E321" s="150">
        <v>6</v>
      </c>
      <c r="F321" s="221">
        <v>46.09</v>
      </c>
    </row>
    <row r="322" spans="1:8" ht="19.5" customHeight="1">
      <c r="A322" s="89" t="s">
        <v>486</v>
      </c>
      <c r="B322" s="1">
        <v>402</v>
      </c>
      <c r="C322" s="95" t="s">
        <v>956</v>
      </c>
      <c r="D322" s="1" t="s">
        <v>3</v>
      </c>
      <c r="E322" s="150">
        <v>4</v>
      </c>
      <c r="F322" s="221">
        <v>17.57</v>
      </c>
    </row>
    <row r="323" spans="1:8">
      <c r="A323" s="89" t="s">
        <v>486</v>
      </c>
      <c r="B323" s="1">
        <v>7307</v>
      </c>
      <c r="C323" s="95" t="s">
        <v>824</v>
      </c>
      <c r="D323" s="1" t="s">
        <v>534</v>
      </c>
      <c r="E323" s="150">
        <v>5</v>
      </c>
      <c r="F323" s="221">
        <v>47.63</v>
      </c>
    </row>
    <row r="324" spans="1:8" ht="31.5">
      <c r="A324" s="89" t="s">
        <v>486</v>
      </c>
      <c r="B324" s="1">
        <v>7694</v>
      </c>
      <c r="C324" s="95" t="s">
        <v>957</v>
      </c>
      <c r="D324" s="1" t="s">
        <v>470</v>
      </c>
      <c r="E324" s="150">
        <v>22</v>
      </c>
      <c r="F324" s="221">
        <v>153.44</v>
      </c>
    </row>
    <row r="325" spans="1:8" ht="31.5">
      <c r="A325" s="89" t="s">
        <v>486</v>
      </c>
      <c r="B325" s="1">
        <v>41955</v>
      </c>
      <c r="C325" s="95" t="s">
        <v>958</v>
      </c>
      <c r="D325" s="1" t="s">
        <v>15</v>
      </c>
      <c r="E325" s="150">
        <v>22.68</v>
      </c>
      <c r="F325" s="221">
        <v>65.5</v>
      </c>
    </row>
    <row r="326" spans="1:8">
      <c r="A326" s="89" t="s">
        <v>486</v>
      </c>
      <c r="B326" s="1">
        <v>7311</v>
      </c>
      <c r="C326" s="95" t="s">
        <v>716</v>
      </c>
      <c r="D326" s="1" t="s">
        <v>534</v>
      </c>
      <c r="E326" s="150">
        <v>7.2</v>
      </c>
      <c r="F326" s="221">
        <v>45.61</v>
      </c>
    </row>
    <row r="327" spans="1:8">
      <c r="A327" s="1" t="s">
        <v>944</v>
      </c>
      <c r="B327" s="1">
        <v>88310</v>
      </c>
      <c r="C327" s="95" t="s">
        <v>547</v>
      </c>
      <c r="D327" s="1" t="s">
        <v>946</v>
      </c>
      <c r="E327" s="150">
        <f>(0.2986*2)+(0.6779*2)+(0.5266*4)</f>
        <v>4.0594000000000001</v>
      </c>
      <c r="F327" s="221">
        <f>F315</f>
        <v>30.74</v>
      </c>
    </row>
    <row r="328" spans="1:8">
      <c r="A328" s="1" t="s">
        <v>944</v>
      </c>
      <c r="B328" s="1">
        <v>88316</v>
      </c>
      <c r="C328" s="95" t="s">
        <v>478</v>
      </c>
      <c r="D328" s="1" t="s">
        <v>946</v>
      </c>
      <c r="E328" s="150">
        <f>8*5</f>
        <v>40</v>
      </c>
      <c r="F328" s="221">
        <f>F300</f>
        <v>21.91</v>
      </c>
    </row>
    <row r="329" spans="1:8" ht="18.75" customHeight="1">
      <c r="A329" s="1" t="s">
        <v>944</v>
      </c>
      <c r="B329" s="1">
        <v>88317</v>
      </c>
      <c r="C329" s="95" t="s">
        <v>959</v>
      </c>
      <c r="D329" s="1" t="s">
        <v>946</v>
      </c>
      <c r="E329" s="150">
        <f>8*5</f>
        <v>40</v>
      </c>
      <c r="F329" s="221">
        <v>30.16</v>
      </c>
    </row>
    <row r="330" spans="1:8">
      <c r="A330" s="135"/>
      <c r="B330" s="135" t="s">
        <v>565</v>
      </c>
      <c r="C330" s="136" t="s">
        <v>960</v>
      </c>
      <c r="D330" s="135" t="s">
        <v>961</v>
      </c>
      <c r="E330" s="137" t="s">
        <v>471</v>
      </c>
      <c r="F330" s="137">
        <f>(E332*F332)+(E333*F333)+(E334*F334)+(E335*F335)+(E336*F336)+(E337*F337)+(E338*F338)+(E339*F339)+(E331*F331)</f>
        <v>21499.99</v>
      </c>
    </row>
    <row r="331" spans="1:8">
      <c r="A331" s="80" t="s">
        <v>486</v>
      </c>
      <c r="B331" s="80">
        <v>7253</v>
      </c>
      <c r="C331" s="81" t="s">
        <v>962</v>
      </c>
      <c r="D331" s="80" t="s">
        <v>805</v>
      </c>
      <c r="E331" s="82">
        <v>30</v>
      </c>
      <c r="F331" s="82">
        <v>171.42</v>
      </c>
    </row>
    <row r="332" spans="1:8" ht="31.5">
      <c r="A332" s="80" t="s">
        <v>486</v>
      </c>
      <c r="B332" s="80" t="s">
        <v>963</v>
      </c>
      <c r="C332" s="81" t="s">
        <v>964</v>
      </c>
      <c r="D332" s="80" t="s">
        <v>541</v>
      </c>
      <c r="E332" s="82">
        <v>180</v>
      </c>
      <c r="F332" s="82">
        <v>2.4900000000000002</v>
      </c>
    </row>
    <row r="333" spans="1:8" ht="31.5">
      <c r="A333" s="80" t="s">
        <v>486</v>
      </c>
      <c r="B333" s="80">
        <v>10826</v>
      </c>
      <c r="C333" s="81" t="s">
        <v>965</v>
      </c>
      <c r="D333" s="80" t="s">
        <v>541</v>
      </c>
      <c r="E333" s="82">
        <v>75</v>
      </c>
      <c r="F333" s="82">
        <v>71.55</v>
      </c>
    </row>
    <row r="334" spans="1:8">
      <c r="A334" s="80" t="s">
        <v>486</v>
      </c>
      <c r="B334" s="80">
        <v>38641</v>
      </c>
      <c r="C334" s="81" t="s">
        <v>966</v>
      </c>
      <c r="D334" s="80" t="s">
        <v>541</v>
      </c>
      <c r="E334" s="82">
        <v>10</v>
      </c>
      <c r="F334" s="82">
        <v>107.32</v>
      </c>
      <c r="H334" s="222"/>
    </row>
    <row r="335" spans="1:8">
      <c r="A335" s="80" t="s">
        <v>486</v>
      </c>
      <c r="B335" s="80">
        <v>38639</v>
      </c>
      <c r="C335" s="81" t="s">
        <v>967</v>
      </c>
      <c r="D335" s="80" t="s">
        <v>541</v>
      </c>
      <c r="E335" s="82">
        <v>12</v>
      </c>
      <c r="F335" s="82">
        <v>171.72</v>
      </c>
    </row>
    <row r="336" spans="1:8" ht="31.5">
      <c r="A336" s="80" t="s">
        <v>486</v>
      </c>
      <c r="B336" s="80">
        <v>358</v>
      </c>
      <c r="C336" s="81" t="s">
        <v>968</v>
      </c>
      <c r="D336" s="80" t="s">
        <v>541</v>
      </c>
      <c r="E336" s="82">
        <v>5</v>
      </c>
      <c r="F336" s="82">
        <v>52.94</v>
      </c>
    </row>
    <row r="337" spans="1:8" ht="31.5">
      <c r="A337" s="80" t="s">
        <v>486</v>
      </c>
      <c r="B337" s="80">
        <v>365</v>
      </c>
      <c r="C337" s="81" t="s">
        <v>969</v>
      </c>
      <c r="D337" s="80" t="s">
        <v>541</v>
      </c>
      <c r="E337" s="82">
        <v>60</v>
      </c>
      <c r="F337" s="82">
        <v>44.36</v>
      </c>
      <c r="H337" s="222"/>
    </row>
    <row r="338" spans="1:8">
      <c r="A338" s="80" t="s">
        <v>472</v>
      </c>
      <c r="B338" s="80" t="s">
        <v>477</v>
      </c>
      <c r="C338" s="81" t="s">
        <v>478</v>
      </c>
      <c r="D338" s="80" t="s">
        <v>475</v>
      </c>
      <c r="E338" s="82">
        <v>120</v>
      </c>
      <c r="F338" s="82">
        <f>F328</f>
        <v>21.91</v>
      </c>
    </row>
    <row r="339" spans="1:8" ht="21.75" customHeight="1">
      <c r="A339" s="80" t="s">
        <v>472</v>
      </c>
      <c r="B339" s="80" t="s">
        <v>970</v>
      </c>
      <c r="C339" s="81" t="s">
        <v>971</v>
      </c>
      <c r="D339" s="80" t="s">
        <v>475</v>
      </c>
      <c r="E339" s="82">
        <v>80</v>
      </c>
      <c r="F339" s="82">
        <v>23.17</v>
      </c>
    </row>
    <row r="340" spans="1:8" ht="31.5">
      <c r="A340" s="135"/>
      <c r="B340" s="135" t="s">
        <v>972</v>
      </c>
      <c r="C340" s="136" t="s">
        <v>973</v>
      </c>
      <c r="D340" s="135" t="s">
        <v>482</v>
      </c>
      <c r="E340" s="137" t="s">
        <v>471</v>
      </c>
      <c r="F340" s="137">
        <v>19.82</v>
      </c>
    </row>
    <row r="341" spans="1:8" ht="31.5">
      <c r="A341" s="80" t="s">
        <v>486</v>
      </c>
      <c r="B341" s="80" t="s">
        <v>974</v>
      </c>
      <c r="C341" s="81" t="s">
        <v>975</v>
      </c>
      <c r="D341" s="80" t="s">
        <v>482</v>
      </c>
      <c r="E341" s="82" t="s">
        <v>569</v>
      </c>
      <c r="F341" s="82"/>
    </row>
    <row r="342" spans="1:8">
      <c r="A342" s="80" t="s">
        <v>472</v>
      </c>
      <c r="B342" s="80" t="s">
        <v>477</v>
      </c>
      <c r="C342" s="81" t="s">
        <v>478</v>
      </c>
      <c r="D342" s="80" t="s">
        <v>475</v>
      </c>
      <c r="E342" s="82" t="s">
        <v>976</v>
      </c>
      <c r="F342" s="82"/>
    </row>
    <row r="343" spans="1:8" ht="19.5" customHeight="1">
      <c r="A343" s="80" t="s">
        <v>472</v>
      </c>
      <c r="B343" s="80" t="s">
        <v>970</v>
      </c>
      <c r="C343" s="81" t="s">
        <v>971</v>
      </c>
      <c r="D343" s="80" t="s">
        <v>475</v>
      </c>
      <c r="E343" s="82" t="s">
        <v>977</v>
      </c>
      <c r="F343" s="82"/>
    </row>
    <row r="344" spans="1:8" ht="47.25">
      <c r="A344" s="135"/>
      <c r="B344" s="135">
        <v>103001</v>
      </c>
      <c r="C344" s="136" t="s">
        <v>978</v>
      </c>
      <c r="D344" s="135" t="s">
        <v>541</v>
      </c>
      <c r="E344" s="137" t="s">
        <v>471</v>
      </c>
      <c r="F344" s="137">
        <v>239.92</v>
      </c>
    </row>
    <row r="345" spans="1:8" ht="31.5">
      <c r="A345" s="80" t="s">
        <v>486</v>
      </c>
      <c r="B345" s="80" t="s">
        <v>979</v>
      </c>
      <c r="C345" s="81" t="s">
        <v>980</v>
      </c>
      <c r="D345" s="80" t="s">
        <v>541</v>
      </c>
      <c r="E345" s="80" t="s">
        <v>569</v>
      </c>
      <c r="F345" s="82"/>
    </row>
    <row r="346" spans="1:8">
      <c r="A346" s="80" t="s">
        <v>472</v>
      </c>
      <c r="B346" s="80" t="s">
        <v>518</v>
      </c>
      <c r="C346" s="81" t="s">
        <v>519</v>
      </c>
      <c r="D346" s="80" t="s">
        <v>475</v>
      </c>
      <c r="E346" s="80" t="s">
        <v>981</v>
      </c>
      <c r="F346" s="82"/>
    </row>
    <row r="347" spans="1:8">
      <c r="A347" s="80" t="s">
        <v>472</v>
      </c>
      <c r="B347" s="80" t="s">
        <v>477</v>
      </c>
      <c r="C347" s="81" t="s">
        <v>478</v>
      </c>
      <c r="D347" s="80" t="s">
        <v>475</v>
      </c>
      <c r="E347" s="80" t="s">
        <v>981</v>
      </c>
      <c r="F347" s="82"/>
    </row>
    <row r="348" spans="1:8" ht="31.5">
      <c r="A348" s="80" t="s">
        <v>472</v>
      </c>
      <c r="B348" s="80" t="s">
        <v>803</v>
      </c>
      <c r="C348" s="81" t="s">
        <v>982</v>
      </c>
      <c r="D348" s="80" t="s">
        <v>805</v>
      </c>
      <c r="E348" s="80" t="s">
        <v>983</v>
      </c>
      <c r="F348" s="82"/>
    </row>
    <row r="349" spans="1:8" ht="31.5">
      <c r="A349" s="135"/>
      <c r="B349" s="135">
        <v>94229</v>
      </c>
      <c r="C349" s="136" t="s">
        <v>984</v>
      </c>
      <c r="D349" s="135" t="s">
        <v>470</v>
      </c>
      <c r="E349" s="137" t="s">
        <v>471</v>
      </c>
      <c r="F349" s="137">
        <v>174.91</v>
      </c>
    </row>
    <row r="350" spans="1:8" ht="31.5">
      <c r="A350" s="80" t="s">
        <v>486</v>
      </c>
      <c r="B350" s="80" t="s">
        <v>782</v>
      </c>
      <c r="C350" s="81" t="s">
        <v>985</v>
      </c>
      <c r="D350" s="80" t="s">
        <v>784</v>
      </c>
      <c r="E350" s="82" t="s">
        <v>986</v>
      </c>
      <c r="F350" s="82"/>
    </row>
    <row r="351" spans="1:8">
      <c r="A351" s="80" t="s">
        <v>486</v>
      </c>
      <c r="B351" s="80" t="s">
        <v>829</v>
      </c>
      <c r="C351" s="81" t="s">
        <v>830</v>
      </c>
      <c r="D351" s="80" t="s">
        <v>489</v>
      </c>
      <c r="E351" s="82" t="s">
        <v>525</v>
      </c>
      <c r="F351" s="82"/>
    </row>
    <row r="352" spans="1:8" ht="31.5">
      <c r="A352" s="80" t="s">
        <v>486</v>
      </c>
      <c r="B352" s="80" t="s">
        <v>851</v>
      </c>
      <c r="C352" s="81" t="s">
        <v>852</v>
      </c>
      <c r="D352" s="80" t="s">
        <v>489</v>
      </c>
      <c r="E352" s="82" t="s">
        <v>987</v>
      </c>
      <c r="F352" s="82"/>
    </row>
    <row r="353" spans="1:6">
      <c r="A353" s="80" t="s">
        <v>486</v>
      </c>
      <c r="B353" s="80" t="s">
        <v>988</v>
      </c>
      <c r="C353" s="81" t="s">
        <v>989</v>
      </c>
      <c r="D353" s="80" t="s">
        <v>489</v>
      </c>
      <c r="E353" s="82" t="s">
        <v>747</v>
      </c>
      <c r="F353" s="82"/>
    </row>
    <row r="354" spans="1:6" ht="31.5">
      <c r="A354" s="80" t="s">
        <v>486</v>
      </c>
      <c r="B354" s="80" t="s">
        <v>990</v>
      </c>
      <c r="C354" s="81" t="s">
        <v>991</v>
      </c>
      <c r="D354" s="80" t="s">
        <v>470</v>
      </c>
      <c r="E354" s="82" t="s">
        <v>746</v>
      </c>
      <c r="F354" s="82"/>
    </row>
    <row r="355" spans="1:6">
      <c r="A355" s="80" t="s">
        <v>472</v>
      </c>
      <c r="B355" s="80" t="s">
        <v>477</v>
      </c>
      <c r="C355" s="81" t="s">
        <v>478</v>
      </c>
      <c r="D355" s="80" t="s">
        <v>475</v>
      </c>
      <c r="E355" s="82" t="s">
        <v>992</v>
      </c>
      <c r="F355" s="82"/>
    </row>
    <row r="356" spans="1:6">
      <c r="A356" s="80" t="s">
        <v>472</v>
      </c>
      <c r="B356" s="80" t="s">
        <v>993</v>
      </c>
      <c r="C356" s="81" t="s">
        <v>994</v>
      </c>
      <c r="D356" s="80" t="s">
        <v>475</v>
      </c>
      <c r="E356" s="82" t="s">
        <v>995</v>
      </c>
      <c r="F356" s="82"/>
    </row>
    <row r="357" spans="1:6" ht="31.5">
      <c r="A357" s="80" t="s">
        <v>472</v>
      </c>
      <c r="B357" s="80" t="s">
        <v>996</v>
      </c>
      <c r="C357" s="81" t="s">
        <v>997</v>
      </c>
      <c r="D357" s="80" t="s">
        <v>524</v>
      </c>
      <c r="E357" s="82" t="s">
        <v>629</v>
      </c>
      <c r="F357" s="82"/>
    </row>
    <row r="358" spans="1:6" ht="31.5">
      <c r="A358" s="80" t="s">
        <v>472</v>
      </c>
      <c r="B358" s="80" t="s">
        <v>998</v>
      </c>
      <c r="C358" s="81" t="s">
        <v>999</v>
      </c>
      <c r="D358" s="80" t="s">
        <v>528</v>
      </c>
      <c r="E358" s="82" t="s">
        <v>1000</v>
      </c>
      <c r="F358" s="82"/>
    </row>
    <row r="359" spans="1:6" ht="31.5">
      <c r="A359" s="135"/>
      <c r="B359" s="135">
        <v>94231</v>
      </c>
      <c r="C359" s="136" t="s">
        <v>1001</v>
      </c>
      <c r="D359" s="135" t="s">
        <v>470</v>
      </c>
      <c r="E359" s="137" t="s">
        <v>471</v>
      </c>
      <c r="F359" s="137">
        <v>54.06</v>
      </c>
    </row>
    <row r="360" spans="1:6" ht="31.5">
      <c r="A360" s="80" t="s">
        <v>486</v>
      </c>
      <c r="B360" s="80" t="s">
        <v>782</v>
      </c>
      <c r="C360" s="81" t="s">
        <v>985</v>
      </c>
      <c r="D360" s="80" t="s">
        <v>784</v>
      </c>
      <c r="E360" s="82" t="s">
        <v>714</v>
      </c>
      <c r="F360" s="82"/>
    </row>
    <row r="361" spans="1:6">
      <c r="A361" s="80" t="s">
        <v>486</v>
      </c>
      <c r="B361" s="80" t="s">
        <v>829</v>
      </c>
      <c r="C361" s="81" t="s">
        <v>830</v>
      </c>
      <c r="D361" s="80" t="s">
        <v>489</v>
      </c>
      <c r="E361" s="82" t="s">
        <v>767</v>
      </c>
      <c r="F361" s="82"/>
    </row>
    <row r="362" spans="1:6" ht="31.5">
      <c r="A362" s="80" t="s">
        <v>486</v>
      </c>
      <c r="B362" s="80" t="s">
        <v>851</v>
      </c>
      <c r="C362" s="81" t="s">
        <v>852</v>
      </c>
      <c r="D362" s="80" t="s">
        <v>489</v>
      </c>
      <c r="E362" s="82" t="s">
        <v>1002</v>
      </c>
      <c r="F362" s="82"/>
    </row>
    <row r="363" spans="1:6">
      <c r="A363" s="80" t="s">
        <v>486</v>
      </c>
      <c r="B363" s="80" t="s">
        <v>988</v>
      </c>
      <c r="C363" s="81" t="s">
        <v>989</v>
      </c>
      <c r="D363" s="80" t="s">
        <v>489</v>
      </c>
      <c r="E363" s="82" t="s">
        <v>1003</v>
      </c>
      <c r="F363" s="82"/>
    </row>
    <row r="364" spans="1:6" ht="31.5">
      <c r="A364" s="80" t="s">
        <v>486</v>
      </c>
      <c r="B364" s="80" t="s">
        <v>1004</v>
      </c>
      <c r="C364" s="81" t="s">
        <v>1005</v>
      </c>
      <c r="D364" s="80" t="s">
        <v>470</v>
      </c>
      <c r="E364" s="82" t="s">
        <v>746</v>
      </c>
      <c r="F364" s="82"/>
    </row>
    <row r="365" spans="1:6">
      <c r="A365" s="80" t="s">
        <v>472</v>
      </c>
      <c r="B365" s="80" t="s">
        <v>477</v>
      </c>
      <c r="C365" s="81" t="s">
        <v>478</v>
      </c>
      <c r="D365" s="80" t="s">
        <v>475</v>
      </c>
      <c r="E365" s="82" t="s">
        <v>1006</v>
      </c>
      <c r="F365" s="82"/>
    </row>
    <row r="366" spans="1:6">
      <c r="A366" s="80" t="s">
        <v>472</v>
      </c>
      <c r="B366" s="80" t="s">
        <v>993</v>
      </c>
      <c r="C366" s="81" t="s">
        <v>994</v>
      </c>
      <c r="D366" s="80" t="s">
        <v>475</v>
      </c>
      <c r="E366" s="82" t="s">
        <v>1007</v>
      </c>
      <c r="F366" s="82"/>
    </row>
    <row r="367" spans="1:6" ht="31.5">
      <c r="A367" s="80" t="s">
        <v>472</v>
      </c>
      <c r="B367" s="80" t="s">
        <v>996</v>
      </c>
      <c r="C367" s="81" t="s">
        <v>997</v>
      </c>
      <c r="D367" s="80" t="s">
        <v>524</v>
      </c>
      <c r="E367" s="82" t="s">
        <v>629</v>
      </c>
      <c r="F367" s="82"/>
    </row>
    <row r="368" spans="1:6" ht="31.5">
      <c r="A368" s="80" t="s">
        <v>472</v>
      </c>
      <c r="B368" s="80" t="s">
        <v>998</v>
      </c>
      <c r="C368" s="81" t="s">
        <v>999</v>
      </c>
      <c r="D368" s="80" t="s">
        <v>528</v>
      </c>
      <c r="E368" s="82" t="s">
        <v>1000</v>
      </c>
      <c r="F368" s="82"/>
    </row>
    <row r="369" spans="1:6" ht="31.5">
      <c r="A369" s="135"/>
      <c r="B369" s="135" t="s">
        <v>1008</v>
      </c>
      <c r="C369" s="136" t="s">
        <v>1009</v>
      </c>
      <c r="D369" s="135" t="s">
        <v>470</v>
      </c>
      <c r="E369" s="137" t="s">
        <v>471</v>
      </c>
      <c r="F369" s="137">
        <v>24.15</v>
      </c>
    </row>
    <row r="370" spans="1:6">
      <c r="A370" s="80" t="s">
        <v>486</v>
      </c>
      <c r="B370" s="80" t="s">
        <v>1010</v>
      </c>
      <c r="C370" s="81" t="s">
        <v>1011</v>
      </c>
      <c r="D370" s="80" t="s">
        <v>470</v>
      </c>
      <c r="E370" s="82" t="s">
        <v>1012</v>
      </c>
      <c r="F370" s="82"/>
    </row>
    <row r="371" spans="1:6">
      <c r="A371" s="80" t="s">
        <v>486</v>
      </c>
      <c r="B371" s="80" t="s">
        <v>1013</v>
      </c>
      <c r="C371" s="81" t="s">
        <v>1014</v>
      </c>
      <c r="D371" s="80" t="s">
        <v>541</v>
      </c>
      <c r="E371" s="82" t="s">
        <v>1015</v>
      </c>
      <c r="F371" s="82"/>
    </row>
    <row r="372" spans="1:6" ht="31.5">
      <c r="A372" s="80" t="s">
        <v>472</v>
      </c>
      <c r="B372" s="80" t="s">
        <v>1016</v>
      </c>
      <c r="C372" s="81" t="s">
        <v>1017</v>
      </c>
      <c r="D372" s="80" t="s">
        <v>475</v>
      </c>
      <c r="E372" s="82" t="s">
        <v>1018</v>
      </c>
      <c r="F372" s="82"/>
    </row>
    <row r="373" spans="1:6" ht="31.5">
      <c r="A373" s="80" t="s">
        <v>472</v>
      </c>
      <c r="B373" s="80" t="s">
        <v>1019</v>
      </c>
      <c r="C373" s="81" t="s">
        <v>1020</v>
      </c>
      <c r="D373" s="80" t="s">
        <v>475</v>
      </c>
      <c r="E373" s="82" t="s">
        <v>1018</v>
      </c>
      <c r="F373" s="82"/>
    </row>
    <row r="374" spans="1:6" ht="31.5">
      <c r="A374" s="135"/>
      <c r="B374" s="135" t="s">
        <v>1021</v>
      </c>
      <c r="C374" s="136" t="s">
        <v>1022</v>
      </c>
      <c r="D374" s="135" t="s">
        <v>470</v>
      </c>
      <c r="E374" s="137" t="s">
        <v>471</v>
      </c>
      <c r="F374" s="137">
        <v>33.06</v>
      </c>
    </row>
    <row r="375" spans="1:6">
      <c r="A375" s="80" t="s">
        <v>486</v>
      </c>
      <c r="B375" s="80" t="s">
        <v>1023</v>
      </c>
      <c r="C375" s="81" t="s">
        <v>1024</v>
      </c>
      <c r="D375" s="80" t="s">
        <v>470</v>
      </c>
      <c r="E375" s="82" t="s">
        <v>1012</v>
      </c>
      <c r="F375" s="82"/>
    </row>
    <row r="376" spans="1:6">
      <c r="A376" s="80" t="s">
        <v>486</v>
      </c>
      <c r="B376" s="80" t="s">
        <v>1013</v>
      </c>
      <c r="C376" s="81" t="s">
        <v>1014</v>
      </c>
      <c r="D376" s="80" t="s">
        <v>541</v>
      </c>
      <c r="E376" s="82" t="s">
        <v>1025</v>
      </c>
      <c r="F376" s="82"/>
    </row>
    <row r="377" spans="1:6" ht="31.5">
      <c r="A377" s="80" t="s">
        <v>472</v>
      </c>
      <c r="B377" s="80" t="s">
        <v>1016</v>
      </c>
      <c r="C377" s="81" t="s">
        <v>1017</v>
      </c>
      <c r="D377" s="80" t="s">
        <v>475</v>
      </c>
      <c r="E377" s="82" t="s">
        <v>1026</v>
      </c>
      <c r="F377" s="82"/>
    </row>
    <row r="378" spans="1:6" ht="31.5">
      <c r="A378" s="80" t="s">
        <v>472</v>
      </c>
      <c r="B378" s="80" t="s">
        <v>1019</v>
      </c>
      <c r="C378" s="81" t="s">
        <v>1020</v>
      </c>
      <c r="D378" s="80" t="s">
        <v>475</v>
      </c>
      <c r="E378" s="82" t="s">
        <v>1026</v>
      </c>
      <c r="F378" s="82"/>
    </row>
    <row r="379" spans="1:6" ht="31.5">
      <c r="A379" s="135"/>
      <c r="B379" s="135" t="s">
        <v>1027</v>
      </c>
      <c r="C379" s="136" t="s">
        <v>1028</v>
      </c>
      <c r="D379" s="135" t="s">
        <v>470</v>
      </c>
      <c r="E379" s="137" t="s">
        <v>471</v>
      </c>
      <c r="F379" s="137">
        <v>50.3</v>
      </c>
    </row>
    <row r="380" spans="1:6">
      <c r="A380" s="80" t="s">
        <v>486</v>
      </c>
      <c r="B380" s="80" t="s">
        <v>1029</v>
      </c>
      <c r="C380" s="81" t="s">
        <v>1030</v>
      </c>
      <c r="D380" s="80" t="s">
        <v>541</v>
      </c>
      <c r="E380" s="82" t="s">
        <v>1031</v>
      </c>
      <c r="F380" s="82" t="s">
        <v>471</v>
      </c>
    </row>
    <row r="381" spans="1:6" ht="31.5">
      <c r="A381" s="80" t="s">
        <v>486</v>
      </c>
      <c r="B381" s="80" t="s">
        <v>1032</v>
      </c>
      <c r="C381" s="81" t="s">
        <v>1033</v>
      </c>
      <c r="D381" s="80" t="s">
        <v>470</v>
      </c>
      <c r="E381" s="82" t="s">
        <v>1034</v>
      </c>
      <c r="F381" s="82" t="s">
        <v>471</v>
      </c>
    </row>
    <row r="382" spans="1:6">
      <c r="A382" s="80" t="s">
        <v>486</v>
      </c>
      <c r="B382" s="80" t="s">
        <v>1035</v>
      </c>
      <c r="C382" s="81" t="s">
        <v>1036</v>
      </c>
      <c r="D382" s="80" t="s">
        <v>541</v>
      </c>
      <c r="E382" s="82" t="s">
        <v>1037</v>
      </c>
      <c r="F382" s="82" t="s">
        <v>471</v>
      </c>
    </row>
    <row r="383" spans="1:6">
      <c r="A383" s="80" t="s">
        <v>486</v>
      </c>
      <c r="B383" s="80" t="s">
        <v>1013</v>
      </c>
      <c r="C383" s="81" t="s">
        <v>1014</v>
      </c>
      <c r="D383" s="80" t="s">
        <v>541</v>
      </c>
      <c r="E383" s="82" t="s">
        <v>1038</v>
      </c>
      <c r="F383" s="82" t="s">
        <v>471</v>
      </c>
    </row>
    <row r="384" spans="1:6" ht="31.5">
      <c r="A384" s="80" t="s">
        <v>472</v>
      </c>
      <c r="B384" s="80" t="s">
        <v>1016</v>
      </c>
      <c r="C384" s="81" t="s">
        <v>1017</v>
      </c>
      <c r="D384" s="80" t="s">
        <v>475</v>
      </c>
      <c r="E384" s="82" t="s">
        <v>1039</v>
      </c>
      <c r="F384" s="82" t="s">
        <v>471</v>
      </c>
    </row>
    <row r="385" spans="1:7" ht="31.5">
      <c r="A385" s="80" t="s">
        <v>472</v>
      </c>
      <c r="B385" s="80" t="s">
        <v>1019</v>
      </c>
      <c r="C385" s="81" t="s">
        <v>1020</v>
      </c>
      <c r="D385" s="80" t="s">
        <v>475</v>
      </c>
      <c r="E385" s="82" t="s">
        <v>1039</v>
      </c>
      <c r="F385" s="82" t="s">
        <v>471</v>
      </c>
    </row>
    <row r="386" spans="1:7" ht="53.25" customHeight="1">
      <c r="A386" s="135"/>
      <c r="B386" s="135" t="s">
        <v>1040</v>
      </c>
      <c r="C386" s="136" t="s">
        <v>1041</v>
      </c>
      <c r="D386" s="135" t="s">
        <v>470</v>
      </c>
      <c r="E386" s="137" t="s">
        <v>471</v>
      </c>
      <c r="F386" s="137">
        <v>38.9</v>
      </c>
    </row>
    <row r="387" spans="1:7">
      <c r="A387" s="80" t="s">
        <v>486</v>
      </c>
      <c r="B387" s="80" t="s">
        <v>1029</v>
      </c>
      <c r="C387" s="81" t="s">
        <v>1030</v>
      </c>
      <c r="D387" s="80" t="s">
        <v>541</v>
      </c>
      <c r="E387" s="82" t="s">
        <v>1042</v>
      </c>
      <c r="F387" s="82" t="s">
        <v>471</v>
      </c>
    </row>
    <row r="388" spans="1:7">
      <c r="A388" s="80" t="s">
        <v>486</v>
      </c>
      <c r="B388" s="80" t="s">
        <v>1043</v>
      </c>
      <c r="C388" s="81" t="s">
        <v>1044</v>
      </c>
      <c r="D388" s="80" t="s">
        <v>470</v>
      </c>
      <c r="E388" s="82" t="s">
        <v>746</v>
      </c>
      <c r="F388" s="82" t="s">
        <v>471</v>
      </c>
    </row>
    <row r="389" spans="1:7">
      <c r="A389" s="80" t="s">
        <v>486</v>
      </c>
      <c r="B389" s="80" t="s">
        <v>1035</v>
      </c>
      <c r="C389" s="81" t="s">
        <v>1036</v>
      </c>
      <c r="D389" s="80" t="s">
        <v>541</v>
      </c>
      <c r="E389" s="82" t="s">
        <v>1045</v>
      </c>
      <c r="F389" s="82" t="s">
        <v>471</v>
      </c>
    </row>
    <row r="390" spans="1:7">
      <c r="A390" s="80" t="s">
        <v>486</v>
      </c>
      <c r="B390" s="80" t="s">
        <v>1013</v>
      </c>
      <c r="C390" s="81" t="s">
        <v>1014</v>
      </c>
      <c r="D390" s="80" t="s">
        <v>541</v>
      </c>
      <c r="E390" s="82" t="s">
        <v>693</v>
      </c>
      <c r="F390" s="82" t="s">
        <v>471</v>
      </c>
    </row>
    <row r="391" spans="1:7" ht="31.5">
      <c r="A391" s="80" t="s">
        <v>472</v>
      </c>
      <c r="B391" s="80" t="s">
        <v>1016</v>
      </c>
      <c r="C391" s="81" t="s">
        <v>1017</v>
      </c>
      <c r="D391" s="80" t="s">
        <v>475</v>
      </c>
      <c r="E391" s="82" t="s">
        <v>1046</v>
      </c>
      <c r="F391" s="82" t="s">
        <v>471</v>
      </c>
    </row>
    <row r="392" spans="1:7" ht="31.5">
      <c r="A392" s="80" t="s">
        <v>472</v>
      </c>
      <c r="B392" s="80" t="s">
        <v>1019</v>
      </c>
      <c r="C392" s="81" t="s">
        <v>1020</v>
      </c>
      <c r="D392" s="80" t="s">
        <v>475</v>
      </c>
      <c r="E392" s="82" t="s">
        <v>1046</v>
      </c>
      <c r="F392" s="82" t="s">
        <v>471</v>
      </c>
    </row>
    <row r="393" spans="1:7" ht="47.25">
      <c r="A393" s="135"/>
      <c r="B393" s="135" t="s">
        <v>1047</v>
      </c>
      <c r="C393" s="136" t="s">
        <v>1048</v>
      </c>
      <c r="D393" s="135" t="s">
        <v>470</v>
      </c>
      <c r="E393" s="137" t="s">
        <v>471</v>
      </c>
      <c r="F393" s="137">
        <v>15.26</v>
      </c>
      <c r="G393" s="134"/>
    </row>
    <row r="394" spans="1:7">
      <c r="A394" s="80" t="s">
        <v>486</v>
      </c>
      <c r="B394" s="80" t="s">
        <v>1049</v>
      </c>
      <c r="C394" s="81" t="s">
        <v>1050</v>
      </c>
      <c r="D394" s="80" t="s">
        <v>470</v>
      </c>
      <c r="E394" s="82" t="s">
        <v>1051</v>
      </c>
      <c r="F394" s="82" t="s">
        <v>471</v>
      </c>
    </row>
    <row r="395" spans="1:7">
      <c r="A395" s="80" t="s">
        <v>472</v>
      </c>
      <c r="B395" s="80" t="s">
        <v>1052</v>
      </c>
      <c r="C395" s="81" t="s">
        <v>1053</v>
      </c>
      <c r="D395" s="80" t="s">
        <v>475</v>
      </c>
      <c r="E395" s="82" t="s">
        <v>1054</v>
      </c>
      <c r="F395" s="82" t="s">
        <v>471</v>
      </c>
    </row>
    <row r="396" spans="1:7">
      <c r="A396" s="80" t="s">
        <v>472</v>
      </c>
      <c r="B396" s="80" t="s">
        <v>1055</v>
      </c>
      <c r="C396" s="81" t="s">
        <v>1056</v>
      </c>
      <c r="D396" s="80" t="s">
        <v>475</v>
      </c>
      <c r="E396" s="82" t="s">
        <v>1054</v>
      </c>
      <c r="F396" s="82" t="s">
        <v>471</v>
      </c>
    </row>
    <row r="397" spans="1:7" ht="47.25">
      <c r="A397" s="135"/>
      <c r="B397" s="135" t="s">
        <v>1057</v>
      </c>
      <c r="C397" s="136" t="s">
        <v>1058</v>
      </c>
      <c r="D397" s="135" t="s">
        <v>541</v>
      </c>
      <c r="E397" s="137" t="s">
        <v>471</v>
      </c>
      <c r="F397" s="137">
        <v>8.7100000000000009</v>
      </c>
    </row>
    <row r="398" spans="1:7">
      <c r="A398" s="80" t="s">
        <v>486</v>
      </c>
      <c r="B398" s="80" t="s">
        <v>1059</v>
      </c>
      <c r="C398" s="81" t="s">
        <v>1060</v>
      </c>
      <c r="D398" s="80" t="s">
        <v>541</v>
      </c>
      <c r="E398" s="82" t="s">
        <v>569</v>
      </c>
      <c r="F398" s="82" t="s">
        <v>471</v>
      </c>
    </row>
    <row r="399" spans="1:7">
      <c r="A399" s="80" t="s">
        <v>472</v>
      </c>
      <c r="B399" s="80" t="s">
        <v>1052</v>
      </c>
      <c r="C399" s="81" t="s">
        <v>1053</v>
      </c>
      <c r="D399" s="80" t="s">
        <v>475</v>
      </c>
      <c r="E399" s="82" t="s">
        <v>1061</v>
      </c>
      <c r="F399" s="82" t="s">
        <v>471</v>
      </c>
    </row>
    <row r="400" spans="1:7">
      <c r="A400" s="80" t="s">
        <v>472</v>
      </c>
      <c r="B400" s="80" t="s">
        <v>1055</v>
      </c>
      <c r="C400" s="81" t="s">
        <v>1056</v>
      </c>
      <c r="D400" s="80" t="s">
        <v>475</v>
      </c>
      <c r="E400" s="82" t="s">
        <v>1061</v>
      </c>
      <c r="F400" s="82" t="s">
        <v>471</v>
      </c>
    </row>
    <row r="401" spans="1:6" ht="47.25">
      <c r="A401" s="135"/>
      <c r="B401" s="135" t="s">
        <v>1062</v>
      </c>
      <c r="C401" s="136" t="s">
        <v>1063</v>
      </c>
      <c r="D401" s="135" t="s">
        <v>541</v>
      </c>
      <c r="E401" s="137" t="s">
        <v>471</v>
      </c>
      <c r="F401" s="137">
        <v>14.27</v>
      </c>
    </row>
    <row r="402" spans="1:6" ht="31.5">
      <c r="A402" s="80" t="s">
        <v>486</v>
      </c>
      <c r="B402" s="80" t="s">
        <v>1064</v>
      </c>
      <c r="C402" s="81" t="s">
        <v>1065</v>
      </c>
      <c r="D402" s="80" t="s">
        <v>541</v>
      </c>
      <c r="E402" s="82" t="s">
        <v>569</v>
      </c>
      <c r="F402" s="82" t="s">
        <v>471</v>
      </c>
    </row>
    <row r="403" spans="1:6">
      <c r="A403" s="80" t="s">
        <v>472</v>
      </c>
      <c r="B403" s="80" t="s">
        <v>1052</v>
      </c>
      <c r="C403" s="81" t="s">
        <v>1053</v>
      </c>
      <c r="D403" s="80" t="s">
        <v>475</v>
      </c>
      <c r="E403" s="82" t="s">
        <v>561</v>
      </c>
      <c r="F403" s="82" t="s">
        <v>471</v>
      </c>
    </row>
    <row r="404" spans="1:6">
      <c r="A404" s="80" t="s">
        <v>472</v>
      </c>
      <c r="B404" s="80" t="s">
        <v>1055</v>
      </c>
      <c r="C404" s="81" t="s">
        <v>1056</v>
      </c>
      <c r="D404" s="80" t="s">
        <v>475</v>
      </c>
      <c r="E404" s="82" t="s">
        <v>561</v>
      </c>
      <c r="F404" s="82" t="s">
        <v>471</v>
      </c>
    </row>
    <row r="405" spans="1:6" ht="31.5">
      <c r="A405" s="135"/>
      <c r="B405" s="135" t="s">
        <v>1066</v>
      </c>
      <c r="C405" s="136" t="s">
        <v>1067</v>
      </c>
      <c r="D405" s="135" t="s">
        <v>470</v>
      </c>
      <c r="E405" s="137" t="s">
        <v>471</v>
      </c>
      <c r="F405" s="137">
        <v>4.5599999999999996</v>
      </c>
    </row>
    <row r="406" spans="1:6" ht="31.5">
      <c r="A406" s="80" t="s">
        <v>486</v>
      </c>
      <c r="B406" s="80" t="s">
        <v>284</v>
      </c>
      <c r="C406" s="81" t="s">
        <v>1068</v>
      </c>
      <c r="D406" s="80" t="s">
        <v>470</v>
      </c>
      <c r="E406" s="82" t="s">
        <v>1069</v>
      </c>
      <c r="F406" s="82" t="s">
        <v>471</v>
      </c>
    </row>
    <row r="407" spans="1:6" ht="31.5">
      <c r="A407" s="80" t="s">
        <v>486</v>
      </c>
      <c r="B407" s="80" t="s">
        <v>1070</v>
      </c>
      <c r="C407" s="81" t="s">
        <v>1071</v>
      </c>
      <c r="D407" s="80" t="s">
        <v>541</v>
      </c>
      <c r="E407" s="82" t="s">
        <v>1072</v>
      </c>
      <c r="F407" s="82" t="s">
        <v>471</v>
      </c>
    </row>
    <row r="408" spans="1:6">
      <c r="A408" s="80" t="s">
        <v>472</v>
      </c>
      <c r="B408" s="80" t="s">
        <v>1052</v>
      </c>
      <c r="C408" s="81" t="s">
        <v>1053</v>
      </c>
      <c r="D408" s="80" t="s">
        <v>475</v>
      </c>
      <c r="E408" s="82" t="s">
        <v>1073</v>
      </c>
      <c r="F408" s="82" t="s">
        <v>471</v>
      </c>
    </row>
    <row r="409" spans="1:6">
      <c r="A409" s="80" t="s">
        <v>472</v>
      </c>
      <c r="B409" s="80" t="s">
        <v>1055</v>
      </c>
      <c r="C409" s="81" t="s">
        <v>1056</v>
      </c>
      <c r="D409" s="80" t="s">
        <v>475</v>
      </c>
      <c r="E409" s="82" t="s">
        <v>1073</v>
      </c>
      <c r="F409" s="82" t="s">
        <v>471</v>
      </c>
    </row>
    <row r="410" spans="1:6" ht="31.5">
      <c r="A410" s="135"/>
      <c r="B410" s="135" t="s">
        <v>1074</v>
      </c>
      <c r="C410" s="136" t="s">
        <v>1075</v>
      </c>
      <c r="D410" s="135" t="s">
        <v>470</v>
      </c>
      <c r="E410" s="137" t="s">
        <v>471</v>
      </c>
      <c r="F410" s="137">
        <v>7.08</v>
      </c>
    </row>
    <row r="411" spans="1:6" ht="31.5">
      <c r="A411" s="80" t="s">
        <v>486</v>
      </c>
      <c r="B411" s="80" t="s">
        <v>287</v>
      </c>
      <c r="C411" s="81" t="s">
        <v>1076</v>
      </c>
      <c r="D411" s="80" t="s">
        <v>470</v>
      </c>
      <c r="E411" s="82" t="s">
        <v>1069</v>
      </c>
      <c r="F411" s="82" t="s">
        <v>471</v>
      </c>
    </row>
    <row r="412" spans="1:6" ht="31.5">
      <c r="A412" s="80" t="s">
        <v>486</v>
      </c>
      <c r="B412" s="80" t="s">
        <v>1070</v>
      </c>
      <c r="C412" s="81" t="s">
        <v>1071</v>
      </c>
      <c r="D412" s="80" t="s">
        <v>541</v>
      </c>
      <c r="E412" s="82" t="s">
        <v>1072</v>
      </c>
      <c r="F412" s="82" t="s">
        <v>471</v>
      </c>
    </row>
    <row r="413" spans="1:6">
      <c r="A413" s="80" t="s">
        <v>472</v>
      </c>
      <c r="B413" s="80" t="s">
        <v>1052</v>
      </c>
      <c r="C413" s="81" t="s">
        <v>1053</v>
      </c>
      <c r="D413" s="80" t="s">
        <v>475</v>
      </c>
      <c r="E413" s="82" t="s">
        <v>714</v>
      </c>
      <c r="F413" s="82" t="s">
        <v>471</v>
      </c>
    </row>
    <row r="414" spans="1:6">
      <c r="A414" s="80" t="s">
        <v>472</v>
      </c>
      <c r="B414" s="80" t="s">
        <v>1055</v>
      </c>
      <c r="C414" s="81" t="s">
        <v>1056</v>
      </c>
      <c r="D414" s="80" t="s">
        <v>475</v>
      </c>
      <c r="E414" s="82" t="s">
        <v>714</v>
      </c>
      <c r="F414" s="82" t="s">
        <v>471</v>
      </c>
    </row>
    <row r="415" spans="1:6" ht="31.5">
      <c r="A415" s="135"/>
      <c r="B415" s="135" t="s">
        <v>1077</v>
      </c>
      <c r="C415" s="136" t="s">
        <v>1078</v>
      </c>
      <c r="D415" s="135" t="s">
        <v>470</v>
      </c>
      <c r="E415" s="137" t="s">
        <v>471</v>
      </c>
      <c r="F415" s="137">
        <v>9.9</v>
      </c>
    </row>
    <row r="416" spans="1:6" ht="31.5">
      <c r="A416" s="80" t="s">
        <v>486</v>
      </c>
      <c r="B416" s="80" t="s">
        <v>1079</v>
      </c>
      <c r="C416" s="81" t="s">
        <v>1080</v>
      </c>
      <c r="D416" s="80" t="s">
        <v>470</v>
      </c>
      <c r="E416" s="82" t="s">
        <v>1069</v>
      </c>
      <c r="F416" s="82" t="s">
        <v>471</v>
      </c>
    </row>
    <row r="417" spans="1:6" ht="31.5">
      <c r="A417" s="80" t="s">
        <v>486</v>
      </c>
      <c r="B417" s="80" t="s">
        <v>1070</v>
      </c>
      <c r="C417" s="81" t="s">
        <v>1071</v>
      </c>
      <c r="D417" s="80" t="s">
        <v>541</v>
      </c>
      <c r="E417" s="82" t="s">
        <v>1072</v>
      </c>
      <c r="F417" s="82" t="s">
        <v>471</v>
      </c>
    </row>
    <row r="418" spans="1:6">
      <c r="A418" s="80" t="s">
        <v>472</v>
      </c>
      <c r="B418" s="80" t="s">
        <v>1052</v>
      </c>
      <c r="C418" s="81" t="s">
        <v>1053</v>
      </c>
      <c r="D418" s="80" t="s">
        <v>475</v>
      </c>
      <c r="E418" s="82" t="s">
        <v>1081</v>
      </c>
      <c r="F418" s="82" t="s">
        <v>471</v>
      </c>
    </row>
    <row r="419" spans="1:6">
      <c r="A419" s="80" t="s">
        <v>472</v>
      </c>
      <c r="B419" s="80" t="s">
        <v>1055</v>
      </c>
      <c r="C419" s="81" t="s">
        <v>1056</v>
      </c>
      <c r="D419" s="80" t="s">
        <v>475</v>
      </c>
      <c r="E419" s="82" t="s">
        <v>1081</v>
      </c>
      <c r="F419" s="82" t="s">
        <v>471</v>
      </c>
    </row>
    <row r="420" spans="1:6" ht="47.25">
      <c r="A420" s="135"/>
      <c r="B420" s="135" t="s">
        <v>1082</v>
      </c>
      <c r="C420" s="136" t="s">
        <v>1083</v>
      </c>
      <c r="D420" s="135" t="s">
        <v>541</v>
      </c>
      <c r="E420" s="137" t="s">
        <v>471</v>
      </c>
      <c r="F420" s="137">
        <v>26.02</v>
      </c>
    </row>
    <row r="421" spans="1:6" ht="31.5">
      <c r="A421" s="80" t="s">
        <v>486</v>
      </c>
      <c r="B421" s="80" t="s">
        <v>1084</v>
      </c>
      <c r="C421" s="81" t="s">
        <v>1085</v>
      </c>
      <c r="D421" s="80" t="s">
        <v>541</v>
      </c>
      <c r="E421" s="82" t="s">
        <v>569</v>
      </c>
      <c r="F421" s="82" t="s">
        <v>471</v>
      </c>
    </row>
    <row r="422" spans="1:6" ht="31.5">
      <c r="A422" s="80" t="s">
        <v>486</v>
      </c>
      <c r="B422" s="80" t="s">
        <v>921</v>
      </c>
      <c r="C422" s="81" t="s">
        <v>922</v>
      </c>
      <c r="D422" s="80" t="s">
        <v>541</v>
      </c>
      <c r="E422" s="82" t="s">
        <v>881</v>
      </c>
      <c r="F422" s="82" t="s">
        <v>471</v>
      </c>
    </row>
    <row r="423" spans="1:6">
      <c r="A423" s="80" t="s">
        <v>472</v>
      </c>
      <c r="B423" s="80" t="s">
        <v>1052</v>
      </c>
      <c r="C423" s="81" t="s">
        <v>1053</v>
      </c>
      <c r="D423" s="80" t="s">
        <v>475</v>
      </c>
      <c r="E423" s="82" t="s">
        <v>1086</v>
      </c>
      <c r="F423" s="82" t="s">
        <v>471</v>
      </c>
    </row>
    <row r="424" spans="1:6">
      <c r="A424" s="80" t="s">
        <v>472</v>
      </c>
      <c r="B424" s="80" t="s">
        <v>1055</v>
      </c>
      <c r="C424" s="81" t="s">
        <v>1056</v>
      </c>
      <c r="D424" s="80" t="s">
        <v>475</v>
      </c>
      <c r="E424" s="82" t="s">
        <v>1086</v>
      </c>
      <c r="F424" s="82" t="s">
        <v>471</v>
      </c>
    </row>
    <row r="425" spans="1:6" ht="47.25">
      <c r="A425" s="135"/>
      <c r="B425" s="135" t="s">
        <v>1087</v>
      </c>
      <c r="C425" s="136" t="s">
        <v>1088</v>
      </c>
      <c r="D425" s="135" t="s">
        <v>541</v>
      </c>
      <c r="E425" s="137" t="s">
        <v>471</v>
      </c>
      <c r="F425" s="137">
        <v>25.44</v>
      </c>
    </row>
    <row r="426" spans="1:6" ht="31.5">
      <c r="A426" s="80" t="s">
        <v>486</v>
      </c>
      <c r="B426" s="80" t="s">
        <v>1089</v>
      </c>
      <c r="C426" s="81" t="s">
        <v>1090</v>
      </c>
      <c r="D426" s="80" t="s">
        <v>541</v>
      </c>
      <c r="E426" s="82" t="s">
        <v>569</v>
      </c>
      <c r="F426" s="82" t="s">
        <v>471</v>
      </c>
    </row>
    <row r="427" spans="1:6" ht="47.25">
      <c r="A427" s="135"/>
      <c r="B427" s="135" t="s">
        <v>1091</v>
      </c>
      <c r="C427" s="136" t="s">
        <v>1092</v>
      </c>
      <c r="D427" s="135" t="s">
        <v>541</v>
      </c>
      <c r="E427" s="137" t="s">
        <v>471</v>
      </c>
      <c r="F427" s="137">
        <v>29.61</v>
      </c>
    </row>
    <row r="428" spans="1:6" ht="31.5">
      <c r="A428" s="80" t="s">
        <v>486</v>
      </c>
      <c r="B428" s="80" t="s">
        <v>1093</v>
      </c>
      <c r="C428" s="81" t="s">
        <v>1094</v>
      </c>
      <c r="D428" s="80" t="s">
        <v>541</v>
      </c>
      <c r="E428" s="82" t="s">
        <v>569</v>
      </c>
      <c r="F428" s="82" t="s">
        <v>471</v>
      </c>
    </row>
    <row r="429" spans="1:6" ht="31.5">
      <c r="A429" s="80" t="s">
        <v>486</v>
      </c>
      <c r="B429" s="80" t="s">
        <v>921</v>
      </c>
      <c r="C429" s="81" t="s">
        <v>922</v>
      </c>
      <c r="D429" s="80" t="s">
        <v>541</v>
      </c>
      <c r="E429" s="82" t="s">
        <v>881</v>
      </c>
      <c r="F429" s="82" t="s">
        <v>471</v>
      </c>
    </row>
    <row r="430" spans="1:6">
      <c r="A430" s="80" t="s">
        <v>472</v>
      </c>
      <c r="B430" s="80" t="s">
        <v>1052</v>
      </c>
      <c r="C430" s="81" t="s">
        <v>1053</v>
      </c>
      <c r="D430" s="80" t="s">
        <v>475</v>
      </c>
      <c r="E430" s="82" t="s">
        <v>1095</v>
      </c>
      <c r="F430" s="82" t="s">
        <v>471</v>
      </c>
    </row>
    <row r="431" spans="1:6">
      <c r="A431" s="80" t="s">
        <v>472</v>
      </c>
      <c r="B431" s="80" t="s">
        <v>1055</v>
      </c>
      <c r="C431" s="81" t="s">
        <v>1056</v>
      </c>
      <c r="D431" s="80" t="s">
        <v>475</v>
      </c>
      <c r="E431" s="82" t="s">
        <v>1095</v>
      </c>
      <c r="F431" s="82" t="s">
        <v>471</v>
      </c>
    </row>
    <row r="432" spans="1:6" ht="31.5">
      <c r="A432" s="135"/>
      <c r="B432" s="135" t="s">
        <v>1096</v>
      </c>
      <c r="C432" s="126" t="s">
        <v>1097</v>
      </c>
      <c r="D432" s="135" t="s">
        <v>541</v>
      </c>
      <c r="E432" s="137" t="s">
        <v>471</v>
      </c>
      <c r="F432" s="137">
        <v>32.409999999999997</v>
      </c>
    </row>
    <row r="433" spans="1:6" ht="31.5">
      <c r="A433" s="80" t="s">
        <v>486</v>
      </c>
      <c r="B433" s="80" t="s">
        <v>921</v>
      </c>
      <c r="C433" s="81" t="s">
        <v>922</v>
      </c>
      <c r="D433" s="80" t="s">
        <v>541</v>
      </c>
      <c r="E433" s="82" t="s">
        <v>881</v>
      </c>
      <c r="F433" s="82" t="s">
        <v>471</v>
      </c>
    </row>
    <row r="434" spans="1:6">
      <c r="A434" s="80" t="s">
        <v>486</v>
      </c>
      <c r="B434" s="80" t="s">
        <v>1098</v>
      </c>
      <c r="C434" s="81" t="s">
        <v>1099</v>
      </c>
      <c r="D434" s="80" t="s">
        <v>541</v>
      </c>
      <c r="E434" s="82" t="s">
        <v>569</v>
      </c>
      <c r="F434" s="82" t="s">
        <v>471</v>
      </c>
    </row>
    <row r="435" spans="1:6">
      <c r="A435" s="80" t="s">
        <v>472</v>
      </c>
      <c r="B435" s="80" t="s">
        <v>1052</v>
      </c>
      <c r="C435" s="81" t="s">
        <v>1053</v>
      </c>
      <c r="D435" s="80" t="s">
        <v>475</v>
      </c>
      <c r="E435" s="82" t="s">
        <v>1100</v>
      </c>
      <c r="F435" s="82" t="s">
        <v>471</v>
      </c>
    </row>
    <row r="436" spans="1:6">
      <c r="A436" s="80" t="s">
        <v>472</v>
      </c>
      <c r="B436" s="80" t="s">
        <v>1055</v>
      </c>
      <c r="C436" s="81" t="s">
        <v>1056</v>
      </c>
      <c r="D436" s="80" t="s">
        <v>475</v>
      </c>
      <c r="E436" s="82" t="s">
        <v>1100</v>
      </c>
      <c r="F436" s="82" t="s">
        <v>471</v>
      </c>
    </row>
    <row r="437" spans="1:6" ht="47.25">
      <c r="A437" s="135"/>
      <c r="B437" s="135" t="s">
        <v>565</v>
      </c>
      <c r="C437" s="136" t="s">
        <v>1101</v>
      </c>
      <c r="D437" s="135" t="s">
        <v>470</v>
      </c>
      <c r="E437" s="215" t="s">
        <v>471</v>
      </c>
      <c r="F437" s="137">
        <f>(E439*F439)+(E440*F440)+(E441*F441)+(E442*F442)+(E438*F438)</f>
        <v>29.416130000000003</v>
      </c>
    </row>
    <row r="438" spans="1:6">
      <c r="A438" s="80" t="s">
        <v>934</v>
      </c>
      <c r="B438" s="80">
        <v>88247</v>
      </c>
      <c r="C438" s="81" t="s">
        <v>1053</v>
      </c>
      <c r="D438" s="80" t="s">
        <v>475</v>
      </c>
      <c r="E438" s="88">
        <v>9.0999999999999998E-2</v>
      </c>
      <c r="F438" s="220">
        <v>23.11</v>
      </c>
    </row>
    <row r="439" spans="1:6">
      <c r="A439" s="80" t="s">
        <v>934</v>
      </c>
      <c r="B439" s="80">
        <v>88264</v>
      </c>
      <c r="C439" s="81" t="s">
        <v>1056</v>
      </c>
      <c r="D439" s="80" t="s">
        <v>475</v>
      </c>
      <c r="E439" s="88">
        <v>9.0999999999999998E-2</v>
      </c>
      <c r="F439" s="220">
        <v>29.88</v>
      </c>
    </row>
    <row r="440" spans="1:6" ht="47.25">
      <c r="A440" s="80" t="s">
        <v>934</v>
      </c>
      <c r="B440" s="80" t="s">
        <v>1102</v>
      </c>
      <c r="C440" s="81" t="s">
        <v>1103</v>
      </c>
      <c r="D440" s="80" t="s">
        <v>541</v>
      </c>
      <c r="E440" s="88">
        <v>0.33300000000000002</v>
      </c>
      <c r="F440" s="220">
        <v>5.7</v>
      </c>
    </row>
    <row r="441" spans="1:6" ht="31.5">
      <c r="A441" s="80" t="s">
        <v>486</v>
      </c>
      <c r="B441" s="80" t="s">
        <v>1104</v>
      </c>
      <c r="C441" s="81" t="s">
        <v>1105</v>
      </c>
      <c r="D441" s="80" t="s">
        <v>470</v>
      </c>
      <c r="E441" s="88">
        <v>0.98199999999999998</v>
      </c>
      <c r="F441" s="220">
        <v>19.670000000000002</v>
      </c>
    </row>
    <row r="442" spans="1:6" ht="63">
      <c r="A442" s="80" t="s">
        <v>934</v>
      </c>
      <c r="B442" s="80">
        <v>91170</v>
      </c>
      <c r="C442" s="81" t="s">
        <v>1106</v>
      </c>
      <c r="D442" s="80" t="s">
        <v>470</v>
      </c>
      <c r="E442" s="88">
        <v>1</v>
      </c>
      <c r="F442" s="220">
        <v>3.38</v>
      </c>
    </row>
    <row r="443" spans="1:6" ht="47.25">
      <c r="A443" s="135"/>
      <c r="B443" s="135">
        <v>97241</v>
      </c>
      <c r="C443" s="136" t="s">
        <v>1107</v>
      </c>
      <c r="D443" s="135" t="s">
        <v>470</v>
      </c>
      <c r="E443" s="215" t="s">
        <v>471</v>
      </c>
      <c r="F443" s="137"/>
    </row>
    <row r="444" spans="1:6">
      <c r="A444" s="80" t="s">
        <v>934</v>
      </c>
      <c r="B444" s="80">
        <v>88247</v>
      </c>
      <c r="C444" s="81" t="s">
        <v>1053</v>
      </c>
      <c r="D444" s="80" t="s">
        <v>475</v>
      </c>
      <c r="E444" s="88">
        <v>0.17799999999999999</v>
      </c>
      <c r="F444" s="220">
        <f>F438</f>
        <v>23.11</v>
      </c>
    </row>
    <row r="445" spans="1:6">
      <c r="A445" s="80" t="s">
        <v>934</v>
      </c>
      <c r="B445" s="80">
        <v>88264</v>
      </c>
      <c r="C445" s="81" t="s">
        <v>1056</v>
      </c>
      <c r="D445" s="80" t="s">
        <v>475</v>
      </c>
      <c r="E445" s="88">
        <v>0.17799999999999999</v>
      </c>
      <c r="F445" s="220">
        <f>F439</f>
        <v>29.88</v>
      </c>
    </row>
    <row r="446" spans="1:6" ht="33.75" customHeight="1">
      <c r="A446" s="80" t="s">
        <v>934</v>
      </c>
      <c r="B446" s="80" t="s">
        <v>1102</v>
      </c>
      <c r="C446" s="81" t="s">
        <v>1108</v>
      </c>
      <c r="D446" s="80" t="s">
        <v>541</v>
      </c>
      <c r="E446" s="88">
        <v>0.33300000000000002</v>
      </c>
      <c r="F446" s="220">
        <v>5.7</v>
      </c>
    </row>
    <row r="447" spans="1:6" ht="31.5">
      <c r="A447" s="80" t="s">
        <v>486</v>
      </c>
      <c r="B447" s="80" t="s">
        <v>1109</v>
      </c>
      <c r="C447" s="81" t="s">
        <v>1110</v>
      </c>
      <c r="D447" s="80" t="s">
        <v>470</v>
      </c>
      <c r="E447" s="88">
        <v>0.95799999999999996</v>
      </c>
      <c r="F447" s="220">
        <v>37.270000000000003</v>
      </c>
    </row>
    <row r="448" spans="1:6" ht="53.25" customHeight="1">
      <c r="A448" s="80" t="s">
        <v>934</v>
      </c>
      <c r="B448" s="80">
        <v>96562</v>
      </c>
      <c r="C448" s="81" t="s">
        <v>1111</v>
      </c>
      <c r="D448" s="80" t="s">
        <v>470</v>
      </c>
      <c r="E448" s="88">
        <v>1</v>
      </c>
      <c r="F448" s="220">
        <v>20.71</v>
      </c>
    </row>
    <row r="449" spans="1:10" ht="22.5" customHeight="1">
      <c r="A449" s="135"/>
      <c r="B449" s="135" t="s">
        <v>565</v>
      </c>
      <c r="C449" s="136" t="s">
        <v>1112</v>
      </c>
      <c r="D449" s="135" t="s">
        <v>3</v>
      </c>
      <c r="E449" s="137"/>
      <c r="F449" s="137">
        <f>E450*F450</f>
        <v>23.61</v>
      </c>
    </row>
    <row r="450" spans="1:10" ht="27.75" customHeight="1">
      <c r="A450" s="80"/>
      <c r="B450" s="80" t="s">
        <v>461</v>
      </c>
      <c r="C450" s="81" t="s">
        <v>1113</v>
      </c>
      <c r="D450" s="80" t="s">
        <v>3</v>
      </c>
      <c r="E450" s="85">
        <v>1</v>
      </c>
      <c r="F450" s="82">
        <f>AVERAGE(H450:J450)</f>
        <v>23.61</v>
      </c>
      <c r="H450" s="240">
        <v>20</v>
      </c>
      <c r="I450" s="240">
        <v>20.83</v>
      </c>
      <c r="J450" s="240">
        <v>30</v>
      </c>
    </row>
    <row r="451" spans="1:10" ht="22.5" customHeight="1">
      <c r="A451" s="135"/>
      <c r="B451" s="135" t="s">
        <v>565</v>
      </c>
      <c r="C451" s="136" t="s">
        <v>1114</v>
      </c>
      <c r="D451" s="135" t="s">
        <v>482</v>
      </c>
      <c r="E451" s="137"/>
      <c r="F451" s="137">
        <f>(E452*F452)+(E453*F453)</f>
        <v>5.5004</v>
      </c>
    </row>
    <row r="452" spans="1:10">
      <c r="A452" s="80" t="s">
        <v>934</v>
      </c>
      <c r="B452" s="80">
        <v>44329</v>
      </c>
      <c r="C452" s="81" t="s">
        <v>935</v>
      </c>
      <c r="D452" s="80" t="s">
        <v>534</v>
      </c>
      <c r="E452" s="147">
        <v>6.0000000000000001E-3</v>
      </c>
      <c r="F452" s="82">
        <v>11.12</v>
      </c>
    </row>
    <row r="453" spans="1:10">
      <c r="A453" s="80" t="s">
        <v>934</v>
      </c>
      <c r="B453" s="80">
        <v>88316</v>
      </c>
      <c r="C453" s="81" t="s">
        <v>478</v>
      </c>
      <c r="D453" s="80" t="s">
        <v>475</v>
      </c>
      <c r="E453" s="147">
        <v>0.248</v>
      </c>
      <c r="F453" s="82">
        <v>21.91</v>
      </c>
    </row>
    <row r="454" spans="1:10" ht="47.25">
      <c r="A454" s="135"/>
      <c r="B454" s="135" t="s">
        <v>1115</v>
      </c>
      <c r="C454" s="136" t="s">
        <v>1116</v>
      </c>
      <c r="D454" s="135" t="s">
        <v>470</v>
      </c>
      <c r="E454" s="137" t="s">
        <v>471</v>
      </c>
      <c r="F454" s="137">
        <v>66.13</v>
      </c>
    </row>
    <row r="455" spans="1:10" ht="31.5">
      <c r="A455" s="80" t="s">
        <v>486</v>
      </c>
      <c r="B455" s="80" t="s">
        <v>1117</v>
      </c>
      <c r="C455" s="81" t="s">
        <v>1118</v>
      </c>
      <c r="D455" s="80" t="s">
        <v>470</v>
      </c>
      <c r="E455" s="82" t="s">
        <v>1119</v>
      </c>
      <c r="F455" s="82"/>
    </row>
    <row r="456" spans="1:10" ht="31.5">
      <c r="A456" s="80" t="s">
        <v>472</v>
      </c>
      <c r="B456" s="80" t="s">
        <v>1016</v>
      </c>
      <c r="C456" s="81" t="s">
        <v>1017</v>
      </c>
      <c r="D456" s="80" t="s">
        <v>475</v>
      </c>
      <c r="E456" s="82" t="s">
        <v>908</v>
      </c>
      <c r="F456" s="82"/>
    </row>
    <row r="457" spans="1:10" ht="31.5">
      <c r="A457" s="80" t="s">
        <v>472</v>
      </c>
      <c r="B457" s="80" t="s">
        <v>1019</v>
      </c>
      <c r="C457" s="81" t="s">
        <v>1020</v>
      </c>
      <c r="D457" s="80" t="s">
        <v>475</v>
      </c>
      <c r="E457" s="82" t="s">
        <v>908</v>
      </c>
      <c r="F457" s="82"/>
    </row>
    <row r="458" spans="1:10" ht="47.25">
      <c r="A458" s="135"/>
      <c r="B458" s="135" t="s">
        <v>1120</v>
      </c>
      <c r="C458" s="136" t="s">
        <v>1121</v>
      </c>
      <c r="D458" s="135" t="s">
        <v>470</v>
      </c>
      <c r="E458" s="137" t="s">
        <v>471</v>
      </c>
      <c r="F458" s="137">
        <v>76.17</v>
      </c>
    </row>
    <row r="459" spans="1:10" ht="31.5">
      <c r="A459" s="80" t="s">
        <v>486</v>
      </c>
      <c r="B459" s="80" t="s">
        <v>1122</v>
      </c>
      <c r="C459" s="81" t="s">
        <v>1123</v>
      </c>
      <c r="D459" s="80" t="s">
        <v>470</v>
      </c>
      <c r="E459" s="82" t="s">
        <v>1119</v>
      </c>
      <c r="F459" s="82"/>
    </row>
    <row r="460" spans="1:10" ht="31.5">
      <c r="A460" s="80" t="s">
        <v>472</v>
      </c>
      <c r="B460" s="80" t="s">
        <v>1016</v>
      </c>
      <c r="C460" s="81" t="s">
        <v>1017</v>
      </c>
      <c r="D460" s="80" t="s">
        <v>475</v>
      </c>
      <c r="E460" s="82" t="s">
        <v>1124</v>
      </c>
      <c r="F460" s="82" t="s">
        <v>471</v>
      </c>
    </row>
    <row r="461" spans="1:10" ht="31.5">
      <c r="A461" s="80" t="s">
        <v>472</v>
      </c>
      <c r="B461" s="80" t="s">
        <v>1019</v>
      </c>
      <c r="C461" s="81" t="s">
        <v>1020</v>
      </c>
      <c r="D461" s="80" t="s">
        <v>475</v>
      </c>
      <c r="E461" s="82" t="s">
        <v>1124</v>
      </c>
      <c r="F461" s="82" t="s">
        <v>471</v>
      </c>
    </row>
    <row r="462" spans="1:10" ht="47.25">
      <c r="A462" s="135"/>
      <c r="B462" s="135" t="s">
        <v>1125</v>
      </c>
      <c r="C462" s="136" t="s">
        <v>1126</v>
      </c>
      <c r="D462" s="135" t="s">
        <v>470</v>
      </c>
      <c r="E462" s="137" t="s">
        <v>471</v>
      </c>
      <c r="F462" s="137">
        <v>71.12</v>
      </c>
    </row>
    <row r="463" spans="1:10" ht="31.5">
      <c r="A463" s="80" t="s">
        <v>486</v>
      </c>
      <c r="B463" s="80" t="s">
        <v>1117</v>
      </c>
      <c r="C463" s="81" t="s">
        <v>1118</v>
      </c>
      <c r="D463" s="80" t="s">
        <v>470</v>
      </c>
      <c r="E463" s="82" t="s">
        <v>1119</v>
      </c>
      <c r="F463" s="82" t="s">
        <v>471</v>
      </c>
    </row>
    <row r="464" spans="1:10" ht="31.5">
      <c r="A464" s="80" t="s">
        <v>472</v>
      </c>
      <c r="B464" s="80" t="s">
        <v>1016</v>
      </c>
      <c r="C464" s="81" t="s">
        <v>1017</v>
      </c>
      <c r="D464" s="80" t="s">
        <v>475</v>
      </c>
      <c r="E464" s="82" t="s">
        <v>548</v>
      </c>
      <c r="F464" s="82" t="s">
        <v>471</v>
      </c>
    </row>
    <row r="465" spans="1:10" ht="31.5">
      <c r="A465" s="80" t="s">
        <v>472</v>
      </c>
      <c r="B465" s="80" t="s">
        <v>1019</v>
      </c>
      <c r="C465" s="81" t="s">
        <v>1020</v>
      </c>
      <c r="D465" s="80" t="s">
        <v>475</v>
      </c>
      <c r="E465" s="82" t="s">
        <v>548</v>
      </c>
      <c r="F465" s="82" t="s">
        <v>471</v>
      </c>
    </row>
    <row r="466" spans="1:10" ht="31.5">
      <c r="A466" s="135"/>
      <c r="B466" s="135" t="s">
        <v>1127</v>
      </c>
      <c r="C466" s="136" t="s">
        <v>1128</v>
      </c>
      <c r="D466" s="135" t="s">
        <v>541</v>
      </c>
      <c r="E466" s="137" t="s">
        <v>471</v>
      </c>
      <c r="F466" s="137">
        <v>684.99</v>
      </c>
    </row>
    <row r="467" spans="1:10" ht="47.25">
      <c r="A467" s="80" t="s">
        <v>486</v>
      </c>
      <c r="B467" s="80" t="s">
        <v>1129</v>
      </c>
      <c r="C467" s="81" t="s">
        <v>1130</v>
      </c>
      <c r="D467" s="80" t="s">
        <v>541</v>
      </c>
      <c r="E467" s="82" t="s">
        <v>881</v>
      </c>
      <c r="F467" s="82" t="s">
        <v>471</v>
      </c>
    </row>
    <row r="468" spans="1:10" ht="31.5">
      <c r="A468" s="80" t="s">
        <v>486</v>
      </c>
      <c r="B468" s="80" t="s">
        <v>1131</v>
      </c>
      <c r="C468" s="81" t="s">
        <v>1132</v>
      </c>
      <c r="D468" s="80" t="s">
        <v>541</v>
      </c>
      <c r="E468" s="82" t="s">
        <v>569</v>
      </c>
      <c r="F468" s="82" t="s">
        <v>471</v>
      </c>
    </row>
    <row r="469" spans="1:10" ht="31.5">
      <c r="A469" s="80" t="s">
        <v>472</v>
      </c>
      <c r="B469" s="80" t="s">
        <v>1016</v>
      </c>
      <c r="C469" s="81" t="s">
        <v>1017</v>
      </c>
      <c r="D469" s="80" t="s">
        <v>475</v>
      </c>
      <c r="E469" s="82" t="s">
        <v>1133</v>
      </c>
      <c r="F469" s="82" t="s">
        <v>471</v>
      </c>
    </row>
    <row r="470" spans="1:10" ht="31.5">
      <c r="A470" s="80" t="s">
        <v>472</v>
      </c>
      <c r="B470" s="80" t="s">
        <v>1019</v>
      </c>
      <c r="C470" s="81" t="s">
        <v>1020</v>
      </c>
      <c r="D470" s="80" t="s">
        <v>475</v>
      </c>
      <c r="E470" s="82" t="s">
        <v>1133</v>
      </c>
      <c r="F470" s="82" t="s">
        <v>471</v>
      </c>
    </row>
    <row r="471" spans="1:10" ht="31.5">
      <c r="A471" s="135"/>
      <c r="B471" s="135" t="s">
        <v>1134</v>
      </c>
      <c r="C471" s="136" t="s">
        <v>1135</v>
      </c>
      <c r="D471" s="135" t="s">
        <v>541</v>
      </c>
      <c r="E471" s="137" t="s">
        <v>471</v>
      </c>
      <c r="F471" s="137">
        <v>244.99</v>
      </c>
    </row>
    <row r="472" spans="1:10" ht="47.25">
      <c r="A472" s="80" t="s">
        <v>486</v>
      </c>
      <c r="B472" s="80" t="s">
        <v>1129</v>
      </c>
      <c r="C472" s="81" t="s">
        <v>1130</v>
      </c>
      <c r="D472" s="80" t="s">
        <v>541</v>
      </c>
      <c r="E472" s="82" t="s">
        <v>881</v>
      </c>
      <c r="F472" s="82" t="s">
        <v>471</v>
      </c>
    </row>
    <row r="473" spans="1:10" ht="31.5">
      <c r="A473" s="80" t="s">
        <v>486</v>
      </c>
      <c r="B473" s="80" t="s">
        <v>1136</v>
      </c>
      <c r="C473" s="81" t="s">
        <v>1137</v>
      </c>
      <c r="D473" s="80" t="s">
        <v>541</v>
      </c>
      <c r="E473" s="82" t="s">
        <v>569</v>
      </c>
      <c r="F473" s="82" t="s">
        <v>471</v>
      </c>
    </row>
    <row r="474" spans="1:10" ht="31.5">
      <c r="A474" s="80" t="s">
        <v>472</v>
      </c>
      <c r="B474" s="80" t="s">
        <v>1016</v>
      </c>
      <c r="C474" s="81" t="s">
        <v>1017</v>
      </c>
      <c r="D474" s="80" t="s">
        <v>475</v>
      </c>
      <c r="E474" s="82" t="s">
        <v>1133</v>
      </c>
      <c r="F474" s="82" t="s">
        <v>471</v>
      </c>
    </row>
    <row r="475" spans="1:10" ht="31.5">
      <c r="A475" s="80" t="s">
        <v>472</v>
      </c>
      <c r="B475" s="80" t="s">
        <v>1019</v>
      </c>
      <c r="C475" s="81" t="s">
        <v>1020</v>
      </c>
      <c r="D475" s="80" t="s">
        <v>475</v>
      </c>
      <c r="E475" s="82" t="s">
        <v>1133</v>
      </c>
      <c r="F475" s="82" t="s">
        <v>471</v>
      </c>
    </row>
    <row r="476" spans="1:10">
      <c r="A476" s="179"/>
      <c r="B476" s="179" t="s">
        <v>565</v>
      </c>
      <c r="C476" s="131" t="s">
        <v>1138</v>
      </c>
      <c r="D476" s="187" t="s">
        <v>1139</v>
      </c>
      <c r="E476" s="188"/>
      <c r="F476" s="137">
        <f>(E477*F477)+(E478*F478)+(E479*F479)</f>
        <v>21382.888333333336</v>
      </c>
    </row>
    <row r="477" spans="1:10">
      <c r="A477" s="121" t="s">
        <v>486</v>
      </c>
      <c r="B477" s="162" t="s">
        <v>461</v>
      </c>
      <c r="C477" s="124" t="s">
        <v>1138</v>
      </c>
      <c r="D477" s="163" t="s">
        <v>3</v>
      </c>
      <c r="E477" s="164">
        <v>1</v>
      </c>
      <c r="F477" s="223">
        <f>AVERAGE(H477:J477)</f>
        <v>20739.513333333336</v>
      </c>
      <c r="H477" s="240">
        <v>22574.04</v>
      </c>
      <c r="I477" s="240">
        <v>18642.2</v>
      </c>
      <c r="J477" s="240">
        <f>20456.79+545.51</f>
        <v>21002.3</v>
      </c>
    </row>
    <row r="478" spans="1:10" ht="31.5">
      <c r="A478" s="121" t="s">
        <v>472</v>
      </c>
      <c r="B478" s="121" t="s">
        <v>1016</v>
      </c>
      <c r="C478" s="120" t="s">
        <v>1017</v>
      </c>
      <c r="D478" s="121" t="s">
        <v>475</v>
      </c>
      <c r="E478" s="164">
        <v>12.5</v>
      </c>
      <c r="F478" s="223">
        <v>22.69</v>
      </c>
    </row>
    <row r="479" spans="1:10" ht="31.5">
      <c r="A479" s="121" t="s">
        <v>472</v>
      </c>
      <c r="B479" s="121">
        <v>88267</v>
      </c>
      <c r="C479" s="120" t="s">
        <v>1020</v>
      </c>
      <c r="D479" s="121" t="s">
        <v>475</v>
      </c>
      <c r="E479" s="164">
        <v>12.5</v>
      </c>
      <c r="F479" s="223">
        <v>28.78</v>
      </c>
    </row>
    <row r="480" spans="1:10">
      <c r="A480" s="176"/>
      <c r="B480" s="177">
        <v>92382</v>
      </c>
      <c r="C480" s="185" t="s">
        <v>1140</v>
      </c>
      <c r="D480" s="186" t="s">
        <v>1139</v>
      </c>
      <c r="E480" s="132"/>
      <c r="F480" s="224">
        <v>55.53</v>
      </c>
    </row>
    <row r="481" spans="1:6">
      <c r="A481" s="80" t="s">
        <v>486</v>
      </c>
      <c r="B481" s="80" t="s">
        <v>1141</v>
      </c>
      <c r="C481" s="81" t="s">
        <v>1142</v>
      </c>
      <c r="D481" s="80" t="s">
        <v>541</v>
      </c>
      <c r="E481" s="146" t="s">
        <v>1143</v>
      </c>
      <c r="F481" s="223"/>
    </row>
    <row r="482" spans="1:6">
      <c r="A482" s="80" t="s">
        <v>486</v>
      </c>
      <c r="B482" s="80" t="s">
        <v>1144</v>
      </c>
      <c r="C482" s="81" t="s">
        <v>1145</v>
      </c>
      <c r="D482" s="80" t="s">
        <v>541</v>
      </c>
      <c r="E482" s="146" t="s">
        <v>569</v>
      </c>
      <c r="F482" s="223"/>
    </row>
    <row r="483" spans="1:6">
      <c r="A483" s="80" t="s">
        <v>486</v>
      </c>
      <c r="B483" s="80" t="s">
        <v>941</v>
      </c>
      <c r="C483" s="81" t="s">
        <v>824</v>
      </c>
      <c r="D483" s="80" t="s">
        <v>534</v>
      </c>
      <c r="E483" s="146" t="s">
        <v>1146</v>
      </c>
      <c r="F483" s="223"/>
    </row>
    <row r="484" spans="1:6" ht="31.5">
      <c r="A484" s="80" t="s">
        <v>472</v>
      </c>
      <c r="B484" s="80" t="s">
        <v>1016</v>
      </c>
      <c r="C484" s="81" t="s">
        <v>1017</v>
      </c>
      <c r="D484" s="80" t="s">
        <v>475</v>
      </c>
      <c r="E484" s="80" t="s">
        <v>1147</v>
      </c>
      <c r="F484" s="80"/>
    </row>
    <row r="485" spans="1:6" ht="31.5">
      <c r="A485" s="80" t="s">
        <v>472</v>
      </c>
      <c r="B485" s="80" t="s">
        <v>1019</v>
      </c>
      <c r="C485" s="81" t="s">
        <v>1020</v>
      </c>
      <c r="D485" s="80" t="s">
        <v>475</v>
      </c>
      <c r="E485" s="80" t="s">
        <v>1147</v>
      </c>
      <c r="F485" s="80"/>
    </row>
    <row r="486" spans="1:6">
      <c r="A486" s="176"/>
      <c r="B486" s="177">
        <v>92907</v>
      </c>
      <c r="C486" s="185" t="s">
        <v>1148</v>
      </c>
      <c r="D486" s="186" t="s">
        <v>1139</v>
      </c>
      <c r="E486" s="132"/>
      <c r="F486" s="224">
        <v>77.349999999999994</v>
      </c>
    </row>
    <row r="487" spans="1:6">
      <c r="A487" s="121" t="s">
        <v>486</v>
      </c>
      <c r="B487" s="121" t="s">
        <v>1141</v>
      </c>
      <c r="C487" s="120" t="s">
        <v>1142</v>
      </c>
      <c r="D487" s="121" t="s">
        <v>541</v>
      </c>
      <c r="E487" s="122" t="s">
        <v>1149</v>
      </c>
      <c r="F487" s="225"/>
    </row>
    <row r="488" spans="1:6">
      <c r="A488" s="121" t="s">
        <v>486</v>
      </c>
      <c r="B488" s="121" t="s">
        <v>1150</v>
      </c>
      <c r="C488" s="120" t="s">
        <v>1151</v>
      </c>
      <c r="D488" s="121" t="s">
        <v>541</v>
      </c>
      <c r="E488" s="122" t="s">
        <v>569</v>
      </c>
      <c r="F488" s="225"/>
    </row>
    <row r="489" spans="1:6">
      <c r="A489" s="121" t="s">
        <v>486</v>
      </c>
      <c r="B489" s="121" t="s">
        <v>941</v>
      </c>
      <c r="C489" s="120" t="s">
        <v>824</v>
      </c>
      <c r="D489" s="121" t="s">
        <v>534</v>
      </c>
      <c r="E489" s="122" t="s">
        <v>767</v>
      </c>
      <c r="F489" s="225"/>
    </row>
    <row r="490" spans="1:6" ht="31.5">
      <c r="A490" s="80" t="s">
        <v>472</v>
      </c>
      <c r="B490" s="80" t="s">
        <v>1016</v>
      </c>
      <c r="C490" s="81" t="s">
        <v>1017</v>
      </c>
      <c r="D490" s="80" t="s">
        <v>475</v>
      </c>
      <c r="E490" s="80" t="s">
        <v>1147</v>
      </c>
      <c r="F490" s="80"/>
    </row>
    <row r="491" spans="1:6" ht="31.5">
      <c r="A491" s="80" t="s">
        <v>472</v>
      </c>
      <c r="B491" s="80" t="s">
        <v>1019</v>
      </c>
      <c r="C491" s="81" t="s">
        <v>1020</v>
      </c>
      <c r="D491" s="80" t="s">
        <v>475</v>
      </c>
      <c r="E491" s="80" t="s">
        <v>1147</v>
      </c>
      <c r="F491" s="80"/>
    </row>
    <row r="492" spans="1:6">
      <c r="A492" s="176"/>
      <c r="B492" s="177" t="s">
        <v>565</v>
      </c>
      <c r="C492" s="185" t="s">
        <v>1152</v>
      </c>
      <c r="D492" s="186" t="s">
        <v>1139</v>
      </c>
      <c r="E492" s="132"/>
      <c r="F492" s="137">
        <f>(E493*F493)+(E494*F494)+(E495*F495)+(E496*F496)+(E497*F497)</f>
        <v>82.004950000000008</v>
      </c>
    </row>
    <row r="493" spans="1:6">
      <c r="A493" s="121" t="s">
        <v>486</v>
      </c>
      <c r="B493" s="165">
        <v>3935</v>
      </c>
      <c r="C493" s="166" t="s">
        <v>1153</v>
      </c>
      <c r="D493" s="112" t="s">
        <v>541</v>
      </c>
      <c r="E493" s="167">
        <v>1</v>
      </c>
      <c r="F493" s="226">
        <v>43.54</v>
      </c>
    </row>
    <row r="494" spans="1:6">
      <c r="A494" s="121" t="s">
        <v>486</v>
      </c>
      <c r="B494" s="121" t="s">
        <v>1141</v>
      </c>
      <c r="C494" s="120" t="s">
        <v>1142</v>
      </c>
      <c r="D494" s="121" t="s">
        <v>541</v>
      </c>
      <c r="E494" s="122" t="s">
        <v>1149</v>
      </c>
      <c r="F494" s="225">
        <v>14.53</v>
      </c>
    </row>
    <row r="495" spans="1:6">
      <c r="A495" s="121" t="s">
        <v>486</v>
      </c>
      <c r="B495" s="121" t="s">
        <v>941</v>
      </c>
      <c r="C495" s="120" t="s">
        <v>824</v>
      </c>
      <c r="D495" s="121" t="s">
        <v>534</v>
      </c>
      <c r="E495" s="122" t="s">
        <v>767</v>
      </c>
      <c r="F495" s="225">
        <v>47.63</v>
      </c>
    </row>
    <row r="496" spans="1:6" ht="31.5">
      <c r="A496" s="80" t="s">
        <v>472</v>
      </c>
      <c r="B496" s="80" t="s">
        <v>1016</v>
      </c>
      <c r="C496" s="81" t="s">
        <v>1017</v>
      </c>
      <c r="D496" s="80" t="s">
        <v>475</v>
      </c>
      <c r="E496" s="80" t="s">
        <v>1147</v>
      </c>
      <c r="F496" s="82">
        <f>F478</f>
        <v>22.69</v>
      </c>
    </row>
    <row r="497" spans="1:6" ht="31.5">
      <c r="A497" s="80" t="s">
        <v>472</v>
      </c>
      <c r="B497" s="80" t="s">
        <v>1019</v>
      </c>
      <c r="C497" s="81" t="s">
        <v>1020</v>
      </c>
      <c r="D497" s="80" t="s">
        <v>475</v>
      </c>
      <c r="E497" s="80" t="s">
        <v>1147</v>
      </c>
      <c r="F497" s="82">
        <f>F479</f>
        <v>28.78</v>
      </c>
    </row>
    <row r="498" spans="1:6">
      <c r="A498" s="176"/>
      <c r="B498" s="177" t="s">
        <v>565</v>
      </c>
      <c r="C498" s="185" t="s">
        <v>1154</v>
      </c>
      <c r="D498" s="132" t="s">
        <v>1139</v>
      </c>
      <c r="E498" s="132"/>
      <c r="F498" s="137">
        <f>(E499*F499)+(E500*F500)+(E501*F501)+(E502*F502)+(E503*F503)</f>
        <v>82.004950000000008</v>
      </c>
    </row>
    <row r="499" spans="1:6">
      <c r="A499" s="121" t="s">
        <v>486</v>
      </c>
      <c r="B499" s="165">
        <v>3925</v>
      </c>
      <c r="C499" s="166" t="s">
        <v>1155</v>
      </c>
      <c r="D499" s="112" t="s">
        <v>541</v>
      </c>
      <c r="E499" s="167">
        <v>1</v>
      </c>
      <c r="F499" s="223">
        <v>43.54</v>
      </c>
    </row>
    <row r="500" spans="1:6">
      <c r="A500" s="121" t="s">
        <v>486</v>
      </c>
      <c r="B500" s="121" t="s">
        <v>1141</v>
      </c>
      <c r="C500" s="120" t="s">
        <v>1142</v>
      </c>
      <c r="D500" s="121" t="s">
        <v>541</v>
      </c>
      <c r="E500" s="122" t="s">
        <v>1149</v>
      </c>
      <c r="F500" s="227">
        <f>F494</f>
        <v>14.53</v>
      </c>
    </row>
    <row r="501" spans="1:6">
      <c r="A501" s="121" t="s">
        <v>486</v>
      </c>
      <c r="B501" s="121" t="s">
        <v>941</v>
      </c>
      <c r="C501" s="120" t="s">
        <v>824</v>
      </c>
      <c r="D501" s="121" t="s">
        <v>534</v>
      </c>
      <c r="E501" s="122" t="s">
        <v>767</v>
      </c>
      <c r="F501" s="225">
        <f>F495</f>
        <v>47.63</v>
      </c>
    </row>
    <row r="502" spans="1:6" ht="31.5">
      <c r="A502" s="80" t="s">
        <v>472</v>
      </c>
      <c r="B502" s="80" t="s">
        <v>1016</v>
      </c>
      <c r="C502" s="81" t="s">
        <v>1017</v>
      </c>
      <c r="D502" s="80" t="s">
        <v>475</v>
      </c>
      <c r="E502" s="80" t="s">
        <v>1147</v>
      </c>
      <c r="F502" s="82">
        <f>F496</f>
        <v>22.69</v>
      </c>
    </row>
    <row r="503" spans="1:6" ht="31.5">
      <c r="A503" s="80" t="s">
        <v>472</v>
      </c>
      <c r="B503" s="80" t="s">
        <v>1019</v>
      </c>
      <c r="C503" s="81" t="s">
        <v>1020</v>
      </c>
      <c r="D503" s="80" t="s">
        <v>475</v>
      </c>
      <c r="E503" s="80" t="s">
        <v>1147</v>
      </c>
      <c r="F503" s="82">
        <f>F497</f>
        <v>28.78</v>
      </c>
    </row>
    <row r="504" spans="1:6">
      <c r="A504" s="176"/>
      <c r="B504" s="177" t="s">
        <v>565</v>
      </c>
      <c r="C504" s="185" t="s">
        <v>1156</v>
      </c>
      <c r="D504" s="132" t="s">
        <v>1139</v>
      </c>
      <c r="E504" s="132"/>
      <c r="F504" s="137">
        <f>(E505*F505)+(E506*F506)+(E507*F507)+(E508*F508)+(E509*F509)</f>
        <v>65.544669999999996</v>
      </c>
    </row>
    <row r="505" spans="1:6">
      <c r="A505" s="80" t="s">
        <v>486</v>
      </c>
      <c r="B505" s="80" t="s">
        <v>1141</v>
      </c>
      <c r="C505" s="81" t="s">
        <v>1142</v>
      </c>
      <c r="D505" s="80" t="s">
        <v>541</v>
      </c>
      <c r="E505" s="82" t="s">
        <v>1157</v>
      </c>
      <c r="F505" s="227">
        <v>14.53</v>
      </c>
    </row>
    <row r="506" spans="1:6">
      <c r="A506" s="80" t="s">
        <v>486</v>
      </c>
      <c r="B506" s="80" t="s">
        <v>1158</v>
      </c>
      <c r="C506" s="81" t="s">
        <v>1159</v>
      </c>
      <c r="D506" s="80" t="s">
        <v>541</v>
      </c>
      <c r="E506" s="82" t="s">
        <v>569</v>
      </c>
      <c r="F506" s="227">
        <v>27.2</v>
      </c>
    </row>
    <row r="507" spans="1:6">
      <c r="A507" s="80" t="s">
        <v>486</v>
      </c>
      <c r="B507" s="80" t="s">
        <v>941</v>
      </c>
      <c r="C507" s="81" t="s">
        <v>824</v>
      </c>
      <c r="D507" s="80" t="s">
        <v>534</v>
      </c>
      <c r="E507" s="82" t="s">
        <v>1160</v>
      </c>
      <c r="F507" s="225">
        <f>F501</f>
        <v>47.63</v>
      </c>
    </row>
    <row r="508" spans="1:6" ht="31.5">
      <c r="A508" s="80" t="s">
        <v>472</v>
      </c>
      <c r="B508" s="80" t="s">
        <v>1016</v>
      </c>
      <c r="C508" s="81" t="s">
        <v>1017</v>
      </c>
      <c r="D508" s="80" t="s">
        <v>475</v>
      </c>
      <c r="E508" s="80" t="s">
        <v>1147</v>
      </c>
      <c r="F508" s="82">
        <f>F502</f>
        <v>22.69</v>
      </c>
    </row>
    <row r="509" spans="1:6" ht="31.5">
      <c r="A509" s="80" t="s">
        <v>472</v>
      </c>
      <c r="B509" s="80" t="s">
        <v>1019</v>
      </c>
      <c r="C509" s="81" t="s">
        <v>1020</v>
      </c>
      <c r="D509" s="80" t="s">
        <v>475</v>
      </c>
      <c r="E509" s="80" t="s">
        <v>1147</v>
      </c>
      <c r="F509" s="82">
        <f>F503</f>
        <v>28.78</v>
      </c>
    </row>
    <row r="510" spans="1:6">
      <c r="A510" s="176"/>
      <c r="B510" s="177" t="s">
        <v>565</v>
      </c>
      <c r="C510" s="185" t="s">
        <v>1161</v>
      </c>
      <c r="D510" s="132" t="s">
        <v>1139</v>
      </c>
      <c r="E510" s="132"/>
      <c r="F510" s="137">
        <f>(E511*F511)+(E512*F512)+(E513*F513)+(E514*F514)+(E515*F515)</f>
        <v>65.544669999999996</v>
      </c>
    </row>
    <row r="511" spans="1:6">
      <c r="A511" s="80" t="s">
        <v>486</v>
      </c>
      <c r="B511" s="80" t="s">
        <v>1141</v>
      </c>
      <c r="C511" s="81" t="s">
        <v>1142</v>
      </c>
      <c r="D511" s="80" t="s">
        <v>541</v>
      </c>
      <c r="E511" s="82" t="s">
        <v>1157</v>
      </c>
      <c r="F511" s="227">
        <v>14.53</v>
      </c>
    </row>
    <row r="512" spans="1:6">
      <c r="A512" s="80" t="s">
        <v>486</v>
      </c>
      <c r="B512" s="80">
        <v>3924</v>
      </c>
      <c r="C512" s="81" t="s">
        <v>1162</v>
      </c>
      <c r="D512" s="80" t="s">
        <v>541</v>
      </c>
      <c r="E512" s="82" t="s">
        <v>569</v>
      </c>
      <c r="F512" s="227">
        <v>27.2</v>
      </c>
    </row>
    <row r="513" spans="1:6">
      <c r="A513" s="80" t="s">
        <v>486</v>
      </c>
      <c r="B513" s="80" t="s">
        <v>941</v>
      </c>
      <c r="C513" s="81" t="s">
        <v>824</v>
      </c>
      <c r="D513" s="80" t="s">
        <v>534</v>
      </c>
      <c r="E513" s="82" t="s">
        <v>1160</v>
      </c>
      <c r="F513" s="225">
        <f>F507</f>
        <v>47.63</v>
      </c>
    </row>
    <row r="514" spans="1:6" ht="31.5">
      <c r="A514" s="80" t="s">
        <v>472</v>
      </c>
      <c r="B514" s="80" t="s">
        <v>1016</v>
      </c>
      <c r="C514" s="81" t="s">
        <v>1017</v>
      </c>
      <c r="D514" s="80" t="s">
        <v>475</v>
      </c>
      <c r="E514" s="80" t="s">
        <v>1147</v>
      </c>
      <c r="F514" s="82">
        <f>F508</f>
        <v>22.69</v>
      </c>
    </row>
    <row r="515" spans="1:6" ht="31.5">
      <c r="A515" s="80" t="s">
        <v>472</v>
      </c>
      <c r="B515" s="80" t="s">
        <v>1019</v>
      </c>
      <c r="C515" s="81" t="s">
        <v>1020</v>
      </c>
      <c r="D515" s="80" t="s">
        <v>475</v>
      </c>
      <c r="E515" s="80" t="s">
        <v>1147</v>
      </c>
      <c r="F515" s="82">
        <f>F509</f>
        <v>28.78</v>
      </c>
    </row>
    <row r="516" spans="1:6">
      <c r="A516" s="175"/>
      <c r="B516" s="177" t="s">
        <v>565</v>
      </c>
      <c r="C516" s="185" t="s">
        <v>1163</v>
      </c>
      <c r="D516" s="132" t="s">
        <v>1139</v>
      </c>
      <c r="E516" s="132"/>
      <c r="F516" s="137">
        <f>(E517*F517)+(E518*F518)+(E519*F519)+(E520*F520)+(E521*F521)</f>
        <v>60.794670000000004</v>
      </c>
    </row>
    <row r="517" spans="1:6">
      <c r="A517" s="80" t="s">
        <v>486</v>
      </c>
      <c r="B517" s="80" t="s">
        <v>1141</v>
      </c>
      <c r="C517" s="81" t="s">
        <v>1142</v>
      </c>
      <c r="D517" s="80" t="s">
        <v>541</v>
      </c>
      <c r="E517" s="82" t="s">
        <v>1157</v>
      </c>
      <c r="F517" s="227">
        <v>14.53</v>
      </c>
    </row>
    <row r="518" spans="1:6">
      <c r="A518" s="80" t="s">
        <v>486</v>
      </c>
      <c r="B518" s="80">
        <v>3921</v>
      </c>
      <c r="C518" s="81" t="s">
        <v>1164</v>
      </c>
      <c r="D518" s="80" t="s">
        <v>541</v>
      </c>
      <c r="E518" s="82" t="s">
        <v>569</v>
      </c>
      <c r="F518" s="227">
        <v>22.45</v>
      </c>
    </row>
    <row r="519" spans="1:6">
      <c r="A519" s="80" t="s">
        <v>486</v>
      </c>
      <c r="B519" s="80" t="s">
        <v>941</v>
      </c>
      <c r="C519" s="81" t="s">
        <v>824</v>
      </c>
      <c r="D519" s="80" t="s">
        <v>534</v>
      </c>
      <c r="E519" s="82" t="s">
        <v>1160</v>
      </c>
      <c r="F519" s="225">
        <f>F513</f>
        <v>47.63</v>
      </c>
    </row>
    <row r="520" spans="1:6" ht="31.5">
      <c r="A520" s="80" t="s">
        <v>472</v>
      </c>
      <c r="B520" s="80" t="s">
        <v>1016</v>
      </c>
      <c r="C520" s="81" t="s">
        <v>1017</v>
      </c>
      <c r="D520" s="80" t="s">
        <v>475</v>
      </c>
      <c r="E520" s="80" t="s">
        <v>1147</v>
      </c>
      <c r="F520" s="82">
        <f>F514</f>
        <v>22.69</v>
      </c>
    </row>
    <row r="521" spans="1:6" ht="31.5">
      <c r="A521" s="80" t="s">
        <v>472</v>
      </c>
      <c r="B521" s="80" t="s">
        <v>1019</v>
      </c>
      <c r="C521" s="81" t="s">
        <v>1020</v>
      </c>
      <c r="D521" s="80" t="s">
        <v>475</v>
      </c>
      <c r="E521" s="80" t="s">
        <v>1147</v>
      </c>
      <c r="F521" s="82">
        <f>F515</f>
        <v>28.78</v>
      </c>
    </row>
    <row r="522" spans="1:6">
      <c r="A522" s="176"/>
      <c r="B522" s="177" t="s">
        <v>565</v>
      </c>
      <c r="C522" s="185" t="s">
        <v>1165</v>
      </c>
      <c r="D522" s="132" t="s">
        <v>1139</v>
      </c>
      <c r="E522" s="132"/>
      <c r="F522" s="137">
        <f>(E523*F523)+(E524*F524)+(E525*F525)+(E526*F526)+(E527*F527)</f>
        <v>53.13467</v>
      </c>
    </row>
    <row r="523" spans="1:6">
      <c r="A523" s="80" t="s">
        <v>486</v>
      </c>
      <c r="B523" s="80" t="s">
        <v>1141</v>
      </c>
      <c r="C523" s="81" t="s">
        <v>1142</v>
      </c>
      <c r="D523" s="80" t="s">
        <v>541</v>
      </c>
      <c r="E523" s="82" t="s">
        <v>1157</v>
      </c>
      <c r="F523" s="227">
        <v>14.53</v>
      </c>
    </row>
    <row r="524" spans="1:6">
      <c r="A524" s="80" t="s">
        <v>486</v>
      </c>
      <c r="B524" s="80">
        <v>3938</v>
      </c>
      <c r="C524" s="81" t="s">
        <v>1166</v>
      </c>
      <c r="D524" s="80" t="s">
        <v>541</v>
      </c>
      <c r="E524" s="82" t="s">
        <v>569</v>
      </c>
      <c r="F524" s="227">
        <v>14.79</v>
      </c>
    </row>
    <row r="525" spans="1:6">
      <c r="A525" s="80" t="s">
        <v>486</v>
      </c>
      <c r="B525" s="80" t="s">
        <v>941</v>
      </c>
      <c r="C525" s="81" t="s">
        <v>824</v>
      </c>
      <c r="D525" s="80" t="s">
        <v>534</v>
      </c>
      <c r="E525" s="82" t="s">
        <v>1160</v>
      </c>
      <c r="F525" s="225">
        <f>F519</f>
        <v>47.63</v>
      </c>
    </row>
    <row r="526" spans="1:6" ht="31.5">
      <c r="A526" s="80" t="s">
        <v>472</v>
      </c>
      <c r="B526" s="80" t="s">
        <v>1016</v>
      </c>
      <c r="C526" s="81" t="s">
        <v>1017</v>
      </c>
      <c r="D526" s="80" t="s">
        <v>475</v>
      </c>
      <c r="E526" s="80" t="s">
        <v>1147</v>
      </c>
      <c r="F526" s="82">
        <f>F520</f>
        <v>22.69</v>
      </c>
    </row>
    <row r="527" spans="1:6" ht="31.5">
      <c r="A527" s="80" t="s">
        <v>472</v>
      </c>
      <c r="B527" s="80" t="s">
        <v>1019</v>
      </c>
      <c r="C527" s="81" t="s">
        <v>1020</v>
      </c>
      <c r="D527" s="80" t="s">
        <v>475</v>
      </c>
      <c r="E527" s="80" t="s">
        <v>1147</v>
      </c>
      <c r="F527" s="82">
        <f>F521</f>
        <v>28.78</v>
      </c>
    </row>
    <row r="528" spans="1:6">
      <c r="A528" s="176"/>
      <c r="B528" s="177" t="s">
        <v>1167</v>
      </c>
      <c r="C528" s="185" t="s">
        <v>1168</v>
      </c>
      <c r="D528" s="132" t="s">
        <v>1139</v>
      </c>
      <c r="E528" s="132"/>
      <c r="F528" s="137">
        <f>(E529*F529)+(E530*F530)+(E531*F531)+(E532*F532)+(E533*F533)</f>
        <v>253.36915000000002</v>
      </c>
    </row>
    <row r="529" spans="1:6">
      <c r="A529" s="80" t="s">
        <v>486</v>
      </c>
      <c r="B529" s="165">
        <v>1651</v>
      </c>
      <c r="C529" s="166" t="s">
        <v>1169</v>
      </c>
      <c r="D529" s="80" t="s">
        <v>541</v>
      </c>
      <c r="E529" s="168">
        <v>1</v>
      </c>
      <c r="F529" s="223">
        <v>213.9</v>
      </c>
    </row>
    <row r="530" spans="1:6">
      <c r="A530" s="80" t="s">
        <v>486</v>
      </c>
      <c r="B530" s="80" t="s">
        <v>1141</v>
      </c>
      <c r="C530" s="81" t="s">
        <v>1142</v>
      </c>
      <c r="D530" s="80" t="s">
        <v>541</v>
      </c>
      <c r="E530" s="84">
        <v>0.08</v>
      </c>
      <c r="F530" s="227">
        <v>14.53</v>
      </c>
    </row>
    <row r="531" spans="1:6">
      <c r="A531" s="80" t="s">
        <v>486</v>
      </c>
      <c r="B531" s="80" t="s">
        <v>941</v>
      </c>
      <c r="C531" s="81" t="s">
        <v>824</v>
      </c>
      <c r="D531" s="80" t="s">
        <v>534</v>
      </c>
      <c r="E531" s="84">
        <v>0.01</v>
      </c>
      <c r="F531" s="225">
        <f>F525</f>
        <v>47.63</v>
      </c>
    </row>
    <row r="532" spans="1:6" ht="31.5">
      <c r="A532" s="80" t="s">
        <v>472</v>
      </c>
      <c r="B532" s="80" t="s">
        <v>1016</v>
      </c>
      <c r="C532" s="81" t="s">
        <v>1017</v>
      </c>
      <c r="D532" s="80" t="s">
        <v>475</v>
      </c>
      <c r="E532" s="80" t="s">
        <v>1147</v>
      </c>
      <c r="F532" s="82">
        <f>F526</f>
        <v>22.69</v>
      </c>
    </row>
    <row r="533" spans="1:6" ht="31.5">
      <c r="A533" s="80" t="s">
        <v>472</v>
      </c>
      <c r="B533" s="80" t="s">
        <v>1019</v>
      </c>
      <c r="C533" s="81" t="s">
        <v>1020</v>
      </c>
      <c r="D533" s="80" t="s">
        <v>475</v>
      </c>
      <c r="E533" s="80" t="s">
        <v>1147</v>
      </c>
      <c r="F533" s="82">
        <f>F527</f>
        <v>28.78</v>
      </c>
    </row>
    <row r="534" spans="1:6">
      <c r="A534" s="176"/>
      <c r="B534" s="177" t="s">
        <v>1167</v>
      </c>
      <c r="C534" s="185" t="s">
        <v>1170</v>
      </c>
      <c r="D534" s="132" t="s">
        <v>1139</v>
      </c>
      <c r="E534" s="132"/>
      <c r="F534" s="137">
        <f>(E535*F535)+(E536*F536)+(E537*F537)+(E538*F538)+(E539*F539)</f>
        <v>157.11795000000001</v>
      </c>
    </row>
    <row r="535" spans="1:6">
      <c r="A535" s="80" t="s">
        <v>486</v>
      </c>
      <c r="B535" s="165">
        <v>1650</v>
      </c>
      <c r="C535" s="166" t="s">
        <v>1171</v>
      </c>
      <c r="D535" s="80" t="s">
        <v>541</v>
      </c>
      <c r="E535" s="168">
        <v>1</v>
      </c>
      <c r="F535" s="223">
        <v>118.23</v>
      </c>
    </row>
    <row r="536" spans="1:6">
      <c r="A536" s="80" t="s">
        <v>486</v>
      </c>
      <c r="B536" s="80" t="s">
        <v>1141</v>
      </c>
      <c r="C536" s="81" t="s">
        <v>1142</v>
      </c>
      <c r="D536" s="80" t="s">
        <v>541</v>
      </c>
      <c r="E536" s="84">
        <v>0.04</v>
      </c>
      <c r="F536" s="227">
        <f>F530</f>
        <v>14.53</v>
      </c>
    </row>
    <row r="537" spans="1:6">
      <c r="A537" s="80" t="s">
        <v>486</v>
      </c>
      <c r="B537" s="80" t="s">
        <v>941</v>
      </c>
      <c r="C537" s="81" t="s">
        <v>824</v>
      </c>
      <c r="D537" s="80" t="s">
        <v>534</v>
      </c>
      <c r="E537" s="84">
        <v>0.01</v>
      </c>
      <c r="F537" s="225">
        <f>F531</f>
        <v>47.63</v>
      </c>
    </row>
    <row r="538" spans="1:6" ht="31.5">
      <c r="A538" s="80" t="s">
        <v>472</v>
      </c>
      <c r="B538" s="80" t="s">
        <v>1016</v>
      </c>
      <c r="C538" s="81" t="s">
        <v>1017</v>
      </c>
      <c r="D538" s="80" t="s">
        <v>475</v>
      </c>
      <c r="E538" s="80" t="s">
        <v>1147</v>
      </c>
      <c r="F538" s="82">
        <f>F532</f>
        <v>22.69</v>
      </c>
    </row>
    <row r="539" spans="1:6" ht="31.5">
      <c r="A539" s="80" t="s">
        <v>472</v>
      </c>
      <c r="B539" s="80" t="s">
        <v>1019</v>
      </c>
      <c r="C539" s="81" t="s">
        <v>1020</v>
      </c>
      <c r="D539" s="80" t="s">
        <v>475</v>
      </c>
      <c r="E539" s="80" t="s">
        <v>1147</v>
      </c>
      <c r="F539" s="82">
        <f>F533</f>
        <v>28.78</v>
      </c>
    </row>
    <row r="540" spans="1:6">
      <c r="A540" s="176"/>
      <c r="B540" s="177" t="s">
        <v>1167</v>
      </c>
      <c r="C540" s="185" t="s">
        <v>1172</v>
      </c>
      <c r="D540" s="132" t="s">
        <v>1139</v>
      </c>
      <c r="E540" s="132"/>
      <c r="F540" s="137">
        <f>(E541*F541)+(E542*F542)+(E543*F543)+(E544*F544)+(E545*F545)</f>
        <v>124.49794999999999</v>
      </c>
    </row>
    <row r="541" spans="1:6">
      <c r="A541" s="80" t="s">
        <v>486</v>
      </c>
      <c r="B541" s="165">
        <v>1649</v>
      </c>
      <c r="C541" s="166" t="s">
        <v>1173</v>
      </c>
      <c r="D541" s="80" t="s">
        <v>541</v>
      </c>
      <c r="E541" s="168">
        <v>1</v>
      </c>
      <c r="F541" s="223">
        <v>85.61</v>
      </c>
    </row>
    <row r="542" spans="1:6">
      <c r="A542" s="80" t="s">
        <v>486</v>
      </c>
      <c r="B542" s="80" t="s">
        <v>1141</v>
      </c>
      <c r="C542" s="81" t="s">
        <v>1142</v>
      </c>
      <c r="D542" s="80" t="s">
        <v>541</v>
      </c>
      <c r="E542" s="84">
        <v>0.04</v>
      </c>
      <c r="F542" s="227">
        <f>F536</f>
        <v>14.53</v>
      </c>
    </row>
    <row r="543" spans="1:6">
      <c r="A543" s="80" t="s">
        <v>486</v>
      </c>
      <c r="B543" s="80" t="s">
        <v>941</v>
      </c>
      <c r="C543" s="81" t="s">
        <v>824</v>
      </c>
      <c r="D543" s="80" t="s">
        <v>534</v>
      </c>
      <c r="E543" s="84">
        <v>0.01</v>
      </c>
      <c r="F543" s="225">
        <f>F537</f>
        <v>47.63</v>
      </c>
    </row>
    <row r="544" spans="1:6" ht="31.5">
      <c r="A544" s="80" t="s">
        <v>472</v>
      </c>
      <c r="B544" s="80" t="s">
        <v>1016</v>
      </c>
      <c r="C544" s="81" t="s">
        <v>1017</v>
      </c>
      <c r="D544" s="80" t="s">
        <v>475</v>
      </c>
      <c r="E544" s="80" t="s">
        <v>1147</v>
      </c>
      <c r="F544" s="82">
        <f>F538</f>
        <v>22.69</v>
      </c>
    </row>
    <row r="545" spans="1:6" ht="31.5">
      <c r="A545" s="80" t="s">
        <v>472</v>
      </c>
      <c r="B545" s="80" t="s">
        <v>1019</v>
      </c>
      <c r="C545" s="81" t="s">
        <v>1020</v>
      </c>
      <c r="D545" s="80" t="s">
        <v>475</v>
      </c>
      <c r="E545" s="80" t="s">
        <v>1147</v>
      </c>
      <c r="F545" s="82">
        <f>F539</f>
        <v>28.78</v>
      </c>
    </row>
    <row r="546" spans="1:6">
      <c r="A546" s="176"/>
      <c r="B546" s="177" t="s">
        <v>1174</v>
      </c>
      <c r="C546" s="185" t="s">
        <v>1175</v>
      </c>
      <c r="D546" s="132" t="s">
        <v>1139</v>
      </c>
      <c r="E546" s="132"/>
      <c r="F546" s="137">
        <f>(E547*F547)+(E548*F548)+(E549*F549)+(E550*F550)+(E551*F551)</f>
        <v>113.52915</v>
      </c>
    </row>
    <row r="547" spans="1:6">
      <c r="A547" s="80" t="s">
        <v>486</v>
      </c>
      <c r="B547" s="80">
        <v>6298</v>
      </c>
      <c r="C547" s="81" t="s">
        <v>1176</v>
      </c>
      <c r="D547" s="80" t="s">
        <v>541</v>
      </c>
      <c r="E547" s="82">
        <v>1</v>
      </c>
      <c r="F547" s="223">
        <v>74.06</v>
      </c>
    </row>
    <row r="548" spans="1:6">
      <c r="A548" s="80" t="s">
        <v>486</v>
      </c>
      <c r="B548" s="80" t="s">
        <v>1141</v>
      </c>
      <c r="C548" s="81" t="s">
        <v>1142</v>
      </c>
      <c r="D548" s="80" t="s">
        <v>541</v>
      </c>
      <c r="E548" s="84">
        <v>0.08</v>
      </c>
      <c r="F548" s="227">
        <f>F542</f>
        <v>14.53</v>
      </c>
    </row>
    <row r="549" spans="1:6">
      <c r="A549" s="80" t="s">
        <v>486</v>
      </c>
      <c r="B549" s="80" t="s">
        <v>941</v>
      </c>
      <c r="C549" s="81" t="s">
        <v>824</v>
      </c>
      <c r="D549" s="80" t="s">
        <v>534</v>
      </c>
      <c r="E549" s="84">
        <v>0.01</v>
      </c>
      <c r="F549" s="225">
        <f>F543</f>
        <v>47.63</v>
      </c>
    </row>
    <row r="550" spans="1:6" ht="31.5">
      <c r="A550" s="80" t="s">
        <v>472</v>
      </c>
      <c r="B550" s="80" t="s">
        <v>1016</v>
      </c>
      <c r="C550" s="81" t="s">
        <v>1017</v>
      </c>
      <c r="D550" s="80" t="s">
        <v>475</v>
      </c>
      <c r="E550" s="80" t="s">
        <v>1147</v>
      </c>
      <c r="F550" s="82">
        <f>F544</f>
        <v>22.69</v>
      </c>
    </row>
    <row r="551" spans="1:6" ht="31.5">
      <c r="A551" s="80" t="s">
        <v>472</v>
      </c>
      <c r="B551" s="80" t="s">
        <v>1019</v>
      </c>
      <c r="C551" s="81" t="s">
        <v>1020</v>
      </c>
      <c r="D551" s="80" t="s">
        <v>475</v>
      </c>
      <c r="E551" s="80" t="s">
        <v>1147</v>
      </c>
      <c r="F551" s="82">
        <f>F545</f>
        <v>28.78</v>
      </c>
    </row>
    <row r="552" spans="1:6">
      <c r="A552" s="176"/>
      <c r="B552" s="177" t="s">
        <v>1174</v>
      </c>
      <c r="C552" s="178" t="s">
        <v>1177</v>
      </c>
      <c r="D552" s="179" t="s">
        <v>1139</v>
      </c>
      <c r="E552" s="179"/>
      <c r="F552" s="137">
        <f>(E553*F553)+(E554*F554)+(E555*F555)+(E556*F556)+(E557*F557)</f>
        <v>86.219149999999999</v>
      </c>
    </row>
    <row r="553" spans="1:6">
      <c r="A553" s="80" t="s">
        <v>486</v>
      </c>
      <c r="B553" s="80">
        <v>6297</v>
      </c>
      <c r="C553" s="81" t="s">
        <v>1178</v>
      </c>
      <c r="D553" s="80" t="s">
        <v>541</v>
      </c>
      <c r="E553" s="82">
        <v>1</v>
      </c>
      <c r="F553" s="223">
        <v>46.75</v>
      </c>
    </row>
    <row r="554" spans="1:6">
      <c r="A554" s="80" t="s">
        <v>486</v>
      </c>
      <c r="B554" s="80" t="s">
        <v>1141</v>
      </c>
      <c r="C554" s="81" t="s">
        <v>1142</v>
      </c>
      <c r="D554" s="80" t="s">
        <v>541</v>
      </c>
      <c r="E554" s="84">
        <v>0.08</v>
      </c>
      <c r="F554" s="227">
        <f>F548</f>
        <v>14.53</v>
      </c>
    </row>
    <row r="555" spans="1:6">
      <c r="A555" s="80" t="s">
        <v>486</v>
      </c>
      <c r="B555" s="80" t="s">
        <v>941</v>
      </c>
      <c r="C555" s="81" t="s">
        <v>824</v>
      </c>
      <c r="D555" s="80" t="s">
        <v>534</v>
      </c>
      <c r="E555" s="84">
        <v>0.01</v>
      </c>
      <c r="F555" s="225">
        <f>F549</f>
        <v>47.63</v>
      </c>
    </row>
    <row r="556" spans="1:6" ht="31.5">
      <c r="A556" s="80" t="s">
        <v>472</v>
      </c>
      <c r="B556" s="80" t="s">
        <v>1016</v>
      </c>
      <c r="C556" s="81" t="s">
        <v>1017</v>
      </c>
      <c r="D556" s="80" t="s">
        <v>475</v>
      </c>
      <c r="E556" s="80" t="s">
        <v>1147</v>
      </c>
      <c r="F556" s="82">
        <f>F550</f>
        <v>22.69</v>
      </c>
    </row>
    <row r="557" spans="1:6" ht="31.5">
      <c r="A557" s="80" t="s">
        <v>472</v>
      </c>
      <c r="B557" s="80" t="s">
        <v>1019</v>
      </c>
      <c r="C557" s="81" t="s">
        <v>1020</v>
      </c>
      <c r="D557" s="80" t="s">
        <v>475</v>
      </c>
      <c r="E557" s="80" t="s">
        <v>1147</v>
      </c>
      <c r="F557" s="82">
        <f>F551</f>
        <v>28.78</v>
      </c>
    </row>
    <row r="558" spans="1:6">
      <c r="A558" s="176"/>
      <c r="B558" s="177" t="s">
        <v>1174</v>
      </c>
      <c r="C558" s="178" t="s">
        <v>1179</v>
      </c>
      <c r="D558" s="179" t="s">
        <v>1139</v>
      </c>
      <c r="E558" s="179"/>
      <c r="F558" s="137">
        <f>(E559*F559)+(E560*F560)+(E561*F561)+(E562*F562)+(E563*F563)</f>
        <v>63.579149999999998</v>
      </c>
    </row>
    <row r="559" spans="1:6">
      <c r="A559" s="80" t="s">
        <v>486</v>
      </c>
      <c r="B559" s="80">
        <v>6323</v>
      </c>
      <c r="C559" s="81" t="s">
        <v>1180</v>
      </c>
      <c r="D559" s="80" t="s">
        <v>541</v>
      </c>
      <c r="E559" s="82">
        <v>1</v>
      </c>
      <c r="F559" s="223">
        <v>24.11</v>
      </c>
    </row>
    <row r="560" spans="1:6">
      <c r="A560" s="80" t="s">
        <v>486</v>
      </c>
      <c r="B560" s="80" t="s">
        <v>1141</v>
      </c>
      <c r="C560" s="81" t="s">
        <v>1142</v>
      </c>
      <c r="D560" s="80" t="s">
        <v>541</v>
      </c>
      <c r="E560" s="84">
        <v>0.08</v>
      </c>
      <c r="F560" s="227">
        <f>F554</f>
        <v>14.53</v>
      </c>
    </row>
    <row r="561" spans="1:6">
      <c r="A561" s="80" t="s">
        <v>486</v>
      </c>
      <c r="B561" s="80" t="s">
        <v>941</v>
      </c>
      <c r="C561" s="81" t="s">
        <v>824</v>
      </c>
      <c r="D561" s="80" t="s">
        <v>534</v>
      </c>
      <c r="E561" s="84">
        <v>0.01</v>
      </c>
      <c r="F561" s="225">
        <f>F555</f>
        <v>47.63</v>
      </c>
    </row>
    <row r="562" spans="1:6" ht="31.5">
      <c r="A562" s="80" t="s">
        <v>472</v>
      </c>
      <c r="B562" s="80" t="s">
        <v>1016</v>
      </c>
      <c r="C562" s="81" t="s">
        <v>1017</v>
      </c>
      <c r="D562" s="80" t="s">
        <v>475</v>
      </c>
      <c r="E562" s="80" t="s">
        <v>1147</v>
      </c>
      <c r="F562" s="82">
        <f>F556</f>
        <v>22.69</v>
      </c>
    </row>
    <row r="563" spans="1:6" ht="31.5">
      <c r="A563" s="80" t="s">
        <v>472</v>
      </c>
      <c r="B563" s="80" t="s">
        <v>1019</v>
      </c>
      <c r="C563" s="81" t="s">
        <v>1020</v>
      </c>
      <c r="D563" s="80" t="s">
        <v>475</v>
      </c>
      <c r="E563" s="80" t="s">
        <v>1147</v>
      </c>
      <c r="F563" s="82">
        <f>F557</f>
        <v>28.78</v>
      </c>
    </row>
    <row r="564" spans="1:6">
      <c r="A564" s="176"/>
      <c r="B564" s="177" t="s">
        <v>1181</v>
      </c>
      <c r="C564" s="178" t="s">
        <v>1182</v>
      </c>
      <c r="D564" s="179" t="s">
        <v>1139</v>
      </c>
      <c r="E564" s="179"/>
      <c r="F564" s="137">
        <f>(E565*F565)+(E566*F566)+(E567*F567)+(E568*F568)</f>
        <v>455.24899999999997</v>
      </c>
    </row>
    <row r="565" spans="1:6">
      <c r="A565" s="80" t="s">
        <v>486</v>
      </c>
      <c r="B565" s="80">
        <v>6315</v>
      </c>
      <c r="C565" s="81" t="s">
        <v>1183</v>
      </c>
      <c r="D565" s="80" t="s">
        <v>541</v>
      </c>
      <c r="E565" s="152">
        <v>1</v>
      </c>
      <c r="F565" s="223">
        <v>413.94</v>
      </c>
    </row>
    <row r="566" spans="1:6">
      <c r="A566" s="80" t="s">
        <v>486</v>
      </c>
      <c r="B566" s="80" t="s">
        <v>1141</v>
      </c>
      <c r="C566" s="81" t="s">
        <v>1142</v>
      </c>
      <c r="D566" s="80" t="s">
        <v>541</v>
      </c>
      <c r="E566" s="84">
        <v>0.08</v>
      </c>
      <c r="F566" s="223">
        <f>14.53</f>
        <v>14.53</v>
      </c>
    </row>
    <row r="567" spans="1:6" ht="31.5">
      <c r="A567" s="80" t="s">
        <v>472</v>
      </c>
      <c r="B567" s="80" t="s">
        <v>1016</v>
      </c>
      <c r="C567" s="81" t="s">
        <v>1017</v>
      </c>
      <c r="D567" s="80" t="s">
        <v>475</v>
      </c>
      <c r="E567" s="80">
        <v>0.78</v>
      </c>
      <c r="F567" s="82">
        <f>F562</f>
        <v>22.69</v>
      </c>
    </row>
    <row r="568" spans="1:6" ht="31.5">
      <c r="A568" s="80" t="s">
        <v>472</v>
      </c>
      <c r="B568" s="80" t="s">
        <v>1019</v>
      </c>
      <c r="C568" s="81" t="s">
        <v>1020</v>
      </c>
      <c r="D568" s="80" t="s">
        <v>475</v>
      </c>
      <c r="E568" s="80">
        <v>0.78</v>
      </c>
      <c r="F568" s="82">
        <f>F563</f>
        <v>28.78</v>
      </c>
    </row>
    <row r="569" spans="1:6">
      <c r="A569" s="176"/>
      <c r="B569" s="177" t="s">
        <v>1181</v>
      </c>
      <c r="C569" s="178" t="s">
        <v>1184</v>
      </c>
      <c r="D569" s="179" t="s">
        <v>1139</v>
      </c>
      <c r="E569" s="179"/>
      <c r="F569" s="137">
        <f>(E570*F570)+(E571*F571)+(E572*F572)+(E573*F573)</f>
        <v>193.29899999999998</v>
      </c>
    </row>
    <row r="570" spans="1:6">
      <c r="A570" s="80" t="s">
        <v>486</v>
      </c>
      <c r="B570" s="80">
        <v>6307</v>
      </c>
      <c r="C570" s="81" t="s">
        <v>1185</v>
      </c>
      <c r="D570" s="80" t="s">
        <v>541</v>
      </c>
      <c r="E570" s="152">
        <v>1</v>
      </c>
      <c r="F570" s="223">
        <v>151.99</v>
      </c>
    </row>
    <row r="571" spans="1:6">
      <c r="A571" s="80" t="s">
        <v>486</v>
      </c>
      <c r="B571" s="80" t="s">
        <v>1141</v>
      </c>
      <c r="C571" s="81" t="s">
        <v>1142</v>
      </c>
      <c r="D571" s="80" t="s">
        <v>541</v>
      </c>
      <c r="E571" s="84">
        <v>0.08</v>
      </c>
      <c r="F571" s="223">
        <f>14.53</f>
        <v>14.53</v>
      </c>
    </row>
    <row r="572" spans="1:6" ht="31.5">
      <c r="A572" s="80" t="s">
        <v>472</v>
      </c>
      <c r="B572" s="80" t="s">
        <v>1016</v>
      </c>
      <c r="C572" s="81" t="s">
        <v>1017</v>
      </c>
      <c r="D572" s="80" t="s">
        <v>475</v>
      </c>
      <c r="E572" s="80">
        <v>0.78</v>
      </c>
      <c r="F572" s="82">
        <f>F567</f>
        <v>22.69</v>
      </c>
    </row>
    <row r="573" spans="1:6" ht="31.5">
      <c r="A573" s="80" t="s">
        <v>472</v>
      </c>
      <c r="B573" s="80" t="s">
        <v>1019</v>
      </c>
      <c r="C573" s="81" t="s">
        <v>1020</v>
      </c>
      <c r="D573" s="80" t="s">
        <v>475</v>
      </c>
      <c r="E573" s="80">
        <v>0.78</v>
      </c>
      <c r="F573" s="82">
        <f>F568</f>
        <v>28.78</v>
      </c>
    </row>
    <row r="574" spans="1:6">
      <c r="A574" s="176"/>
      <c r="B574" s="177" t="s">
        <v>1181</v>
      </c>
      <c r="C574" s="178" t="s">
        <v>1186</v>
      </c>
      <c r="D574" s="179" t="s">
        <v>1139</v>
      </c>
      <c r="E574" s="179"/>
      <c r="F574" s="137">
        <f>(E575*F575)+(E576*F576)+(E577*F577)+(E578*F578)</f>
        <v>123.28900000000002</v>
      </c>
    </row>
    <row r="575" spans="1:6">
      <c r="A575" s="80" t="s">
        <v>486</v>
      </c>
      <c r="B575" s="80">
        <v>6305</v>
      </c>
      <c r="C575" s="81" t="s">
        <v>1187</v>
      </c>
      <c r="D575" s="80" t="s">
        <v>541</v>
      </c>
      <c r="E575" s="152">
        <v>1</v>
      </c>
      <c r="F575" s="223">
        <v>81.98</v>
      </c>
    </row>
    <row r="576" spans="1:6">
      <c r="A576" s="80" t="s">
        <v>486</v>
      </c>
      <c r="B576" s="80" t="s">
        <v>1141</v>
      </c>
      <c r="C576" s="81" t="s">
        <v>1142</v>
      </c>
      <c r="D576" s="80" t="s">
        <v>541</v>
      </c>
      <c r="E576" s="84">
        <v>0.08</v>
      </c>
      <c r="F576" s="223">
        <f>14.53</f>
        <v>14.53</v>
      </c>
    </row>
    <row r="577" spans="1:6" ht="31.5">
      <c r="A577" s="80" t="s">
        <v>472</v>
      </c>
      <c r="B577" s="80" t="s">
        <v>1016</v>
      </c>
      <c r="C577" s="81" t="s">
        <v>1017</v>
      </c>
      <c r="D577" s="80" t="s">
        <v>475</v>
      </c>
      <c r="E577" s="80">
        <v>0.78</v>
      </c>
      <c r="F577" s="82">
        <f>F572</f>
        <v>22.69</v>
      </c>
    </row>
    <row r="578" spans="1:6" ht="31.5">
      <c r="A578" s="80" t="s">
        <v>472</v>
      </c>
      <c r="B578" s="80" t="s">
        <v>1019</v>
      </c>
      <c r="C578" s="81" t="s">
        <v>1020</v>
      </c>
      <c r="D578" s="80" t="s">
        <v>475</v>
      </c>
      <c r="E578" s="80">
        <v>0.78</v>
      </c>
      <c r="F578" s="82">
        <f>F573</f>
        <v>28.78</v>
      </c>
    </row>
    <row r="579" spans="1:6">
      <c r="A579" s="176"/>
      <c r="B579" s="177" t="s">
        <v>1181</v>
      </c>
      <c r="C579" s="178" t="s">
        <v>1188</v>
      </c>
      <c r="D579" s="179" t="s">
        <v>1139</v>
      </c>
      <c r="E579" s="179"/>
      <c r="F579" s="137">
        <f>(E580*F580)+(E581*F581)+(E582*F582)+(E583*F583)</f>
        <v>193.29899999999998</v>
      </c>
    </row>
    <row r="580" spans="1:6">
      <c r="A580" s="80" t="s">
        <v>486</v>
      </c>
      <c r="B580" s="80">
        <v>6308</v>
      </c>
      <c r="C580" s="81" t="s">
        <v>1189</v>
      </c>
      <c r="D580" s="80" t="s">
        <v>541</v>
      </c>
      <c r="E580" s="152">
        <v>1</v>
      </c>
      <c r="F580" s="223">
        <v>151.99</v>
      </c>
    </row>
    <row r="581" spans="1:6">
      <c r="A581" s="80" t="s">
        <v>486</v>
      </c>
      <c r="B581" s="80" t="s">
        <v>1141</v>
      </c>
      <c r="C581" s="81" t="s">
        <v>1142</v>
      </c>
      <c r="D581" s="80" t="s">
        <v>541</v>
      </c>
      <c r="E581" s="84">
        <v>0.08</v>
      </c>
      <c r="F581" s="223">
        <f>14.53</f>
        <v>14.53</v>
      </c>
    </row>
    <row r="582" spans="1:6" ht="31.5">
      <c r="A582" s="80" t="s">
        <v>472</v>
      </c>
      <c r="B582" s="80" t="s">
        <v>1016</v>
      </c>
      <c r="C582" s="81" t="s">
        <v>1017</v>
      </c>
      <c r="D582" s="80" t="s">
        <v>475</v>
      </c>
      <c r="E582" s="80">
        <v>0.78</v>
      </c>
      <c r="F582" s="82">
        <f>F577</f>
        <v>22.69</v>
      </c>
    </row>
    <row r="583" spans="1:6" ht="31.5">
      <c r="A583" s="80" t="s">
        <v>472</v>
      </c>
      <c r="B583" s="80" t="s">
        <v>1019</v>
      </c>
      <c r="C583" s="81" t="s">
        <v>1020</v>
      </c>
      <c r="D583" s="80" t="s">
        <v>475</v>
      </c>
      <c r="E583" s="80">
        <v>0.78</v>
      </c>
      <c r="F583" s="82">
        <f>F578</f>
        <v>28.78</v>
      </c>
    </row>
    <row r="584" spans="1:6">
      <c r="A584" s="176"/>
      <c r="B584" s="177" t="s">
        <v>1181</v>
      </c>
      <c r="C584" s="178" t="s">
        <v>1190</v>
      </c>
      <c r="D584" s="179" t="s">
        <v>1139</v>
      </c>
      <c r="E584" s="179"/>
      <c r="F584" s="137">
        <f>(E585*F585)+(E586*F586)+(E587*F587)+(E588*F588)</f>
        <v>96.239000000000004</v>
      </c>
    </row>
    <row r="585" spans="1:6">
      <c r="A585" s="80" t="s">
        <v>486</v>
      </c>
      <c r="B585" s="80">
        <v>6319</v>
      </c>
      <c r="C585" s="81" t="s">
        <v>1191</v>
      </c>
      <c r="D585" s="80" t="s">
        <v>541</v>
      </c>
      <c r="E585" s="152">
        <v>1</v>
      </c>
      <c r="F585" s="223">
        <v>54.93</v>
      </c>
    </row>
    <row r="586" spans="1:6">
      <c r="A586" s="80" t="s">
        <v>486</v>
      </c>
      <c r="B586" s="80" t="s">
        <v>1141</v>
      </c>
      <c r="C586" s="81" t="s">
        <v>1142</v>
      </c>
      <c r="D586" s="80" t="s">
        <v>541</v>
      </c>
      <c r="E586" s="84">
        <v>0.08</v>
      </c>
      <c r="F586" s="223">
        <f>14.53</f>
        <v>14.53</v>
      </c>
    </row>
    <row r="587" spans="1:6" ht="31.5">
      <c r="A587" s="80" t="s">
        <v>472</v>
      </c>
      <c r="B587" s="80" t="s">
        <v>1016</v>
      </c>
      <c r="C587" s="81" t="s">
        <v>1017</v>
      </c>
      <c r="D587" s="80" t="s">
        <v>475</v>
      </c>
      <c r="E587" s="80">
        <v>0.78</v>
      </c>
      <c r="F587" s="82">
        <f>F582</f>
        <v>22.69</v>
      </c>
    </row>
    <row r="588" spans="1:6" ht="31.5">
      <c r="A588" s="80" t="s">
        <v>472</v>
      </c>
      <c r="B588" s="80" t="s">
        <v>1019</v>
      </c>
      <c r="C588" s="81" t="s">
        <v>1020</v>
      </c>
      <c r="D588" s="80" t="s">
        <v>475</v>
      </c>
      <c r="E588" s="80">
        <v>0.78</v>
      </c>
      <c r="F588" s="82">
        <f>F583</f>
        <v>28.78</v>
      </c>
    </row>
    <row r="589" spans="1:6">
      <c r="A589" s="176"/>
      <c r="B589" s="177" t="s">
        <v>1181</v>
      </c>
      <c r="C589" s="178" t="s">
        <v>1192</v>
      </c>
      <c r="D589" s="179" t="s">
        <v>1139</v>
      </c>
      <c r="E589" s="179"/>
      <c r="F589" s="137">
        <f>(E590*F590)+(E591*F591)+(E592*F592)+(E593*F593)</f>
        <v>82.899000000000001</v>
      </c>
    </row>
    <row r="590" spans="1:6">
      <c r="A590" s="80" t="s">
        <v>486</v>
      </c>
      <c r="B590" s="80">
        <v>21116</v>
      </c>
      <c r="C590" s="81" t="s">
        <v>1193</v>
      </c>
      <c r="D590" s="80" t="s">
        <v>541</v>
      </c>
      <c r="E590" s="152">
        <v>1</v>
      </c>
      <c r="F590" s="223">
        <v>41.59</v>
      </c>
    </row>
    <row r="591" spans="1:6">
      <c r="A591" s="80" t="s">
        <v>486</v>
      </c>
      <c r="B591" s="80" t="s">
        <v>1141</v>
      </c>
      <c r="C591" s="81" t="s">
        <v>1142</v>
      </c>
      <c r="D591" s="80" t="s">
        <v>541</v>
      </c>
      <c r="E591" s="84">
        <v>0.08</v>
      </c>
      <c r="F591" s="223">
        <f>14.53</f>
        <v>14.53</v>
      </c>
    </row>
    <row r="592" spans="1:6" ht="31.5">
      <c r="A592" s="80" t="s">
        <v>472</v>
      </c>
      <c r="B592" s="80" t="s">
        <v>1016</v>
      </c>
      <c r="C592" s="81" t="s">
        <v>1017</v>
      </c>
      <c r="D592" s="80" t="s">
        <v>475</v>
      </c>
      <c r="E592" s="80">
        <v>0.78</v>
      </c>
      <c r="F592" s="82">
        <f>F587</f>
        <v>22.69</v>
      </c>
    </row>
    <row r="593" spans="1:6" ht="31.5">
      <c r="A593" s="80" t="s">
        <v>472</v>
      </c>
      <c r="B593" s="80" t="s">
        <v>1019</v>
      </c>
      <c r="C593" s="81" t="s">
        <v>1020</v>
      </c>
      <c r="D593" s="80" t="s">
        <v>475</v>
      </c>
      <c r="E593" s="80">
        <v>0.78</v>
      </c>
      <c r="F593" s="82">
        <f>F588</f>
        <v>28.78</v>
      </c>
    </row>
    <row r="594" spans="1:6">
      <c r="A594" s="176"/>
      <c r="B594" s="177" t="s">
        <v>1194</v>
      </c>
      <c r="C594" s="178" t="s">
        <v>1195</v>
      </c>
      <c r="D594" s="179" t="s">
        <v>470</v>
      </c>
      <c r="E594" s="179"/>
      <c r="F594" s="137">
        <f>(E595*F595)+(E596*F596)+(E597*F597)+(E598*F598)</f>
        <v>81.424341999999996</v>
      </c>
    </row>
    <row r="595" spans="1:6">
      <c r="A595" s="80" t="s">
        <v>486</v>
      </c>
      <c r="B595" s="80" t="s">
        <v>1196</v>
      </c>
      <c r="C595" s="81" t="s">
        <v>1197</v>
      </c>
      <c r="D595" s="80" t="s">
        <v>470</v>
      </c>
      <c r="E595" s="84">
        <v>1.0389999999999999</v>
      </c>
      <c r="F595" s="225">
        <v>43.49</v>
      </c>
    </row>
    <row r="596" spans="1:6">
      <c r="A596" s="80" t="s">
        <v>486</v>
      </c>
      <c r="B596" s="80" t="s">
        <v>1141</v>
      </c>
      <c r="C596" s="81" t="s">
        <v>1142</v>
      </c>
      <c r="D596" s="80" t="s">
        <v>541</v>
      </c>
      <c r="E596" s="84">
        <f>0.72/50</f>
        <v>1.44E-2</v>
      </c>
      <c r="F596" s="223">
        <f>14.53</f>
        <v>14.53</v>
      </c>
    </row>
    <row r="597" spans="1:6" ht="31.5">
      <c r="A597" s="80" t="s">
        <v>472</v>
      </c>
      <c r="B597" s="80" t="s">
        <v>1016</v>
      </c>
      <c r="C597" s="81" t="s">
        <v>1017</v>
      </c>
      <c r="D597" s="80" t="s">
        <v>475</v>
      </c>
      <c r="E597" s="147">
        <v>0.7</v>
      </c>
      <c r="F597" s="82">
        <f>F592</f>
        <v>22.69</v>
      </c>
    </row>
    <row r="598" spans="1:6" ht="31.5">
      <c r="A598" s="80" t="s">
        <v>472</v>
      </c>
      <c r="B598" s="80" t="s">
        <v>1019</v>
      </c>
      <c r="C598" s="81" t="s">
        <v>1020</v>
      </c>
      <c r="D598" s="80" t="s">
        <v>475</v>
      </c>
      <c r="E598" s="147">
        <v>0.7</v>
      </c>
      <c r="F598" s="82">
        <f>F593</f>
        <v>28.78</v>
      </c>
    </row>
    <row r="599" spans="1:6">
      <c r="A599" s="176"/>
      <c r="B599" s="177" t="s">
        <v>1194</v>
      </c>
      <c r="C599" s="178" t="s">
        <v>1198</v>
      </c>
      <c r="D599" s="179" t="s">
        <v>470</v>
      </c>
      <c r="E599" s="179"/>
      <c r="F599" s="137">
        <f>(E600*F600)+(E601*F601)+(E602*F602)+(E603*F603)</f>
        <v>93.279689999999988</v>
      </c>
    </row>
    <row r="600" spans="1:6">
      <c r="A600" s="80" t="s">
        <v>486</v>
      </c>
      <c r="B600" s="80">
        <v>7698</v>
      </c>
      <c r="C600" s="81" t="s">
        <v>1199</v>
      </c>
      <c r="D600" s="80" t="s">
        <v>470</v>
      </c>
      <c r="E600" s="84">
        <v>1.0389999999999999</v>
      </c>
      <c r="F600" s="225">
        <v>54.85</v>
      </c>
    </row>
    <row r="601" spans="1:6">
      <c r="A601" s="80" t="s">
        <v>486</v>
      </c>
      <c r="B601" s="80" t="s">
        <v>1141</v>
      </c>
      <c r="C601" s="81" t="s">
        <v>1142</v>
      </c>
      <c r="D601" s="80" t="s">
        <v>541</v>
      </c>
      <c r="E601" s="84">
        <f>0.9/50</f>
        <v>1.8000000000000002E-2</v>
      </c>
      <c r="F601" s="223">
        <f>14.53</f>
        <v>14.53</v>
      </c>
    </row>
    <row r="602" spans="1:6" ht="31.5">
      <c r="A602" s="80" t="s">
        <v>472</v>
      </c>
      <c r="B602" s="80" t="s">
        <v>1016</v>
      </c>
      <c r="C602" s="81" t="s">
        <v>1017</v>
      </c>
      <c r="D602" s="80" t="s">
        <v>475</v>
      </c>
      <c r="E602" s="147">
        <v>0.7</v>
      </c>
      <c r="F602" s="82">
        <f>F597</f>
        <v>22.69</v>
      </c>
    </row>
    <row r="603" spans="1:6" ht="31.5">
      <c r="A603" s="80" t="s">
        <v>472</v>
      </c>
      <c r="B603" s="80" t="s">
        <v>1019</v>
      </c>
      <c r="C603" s="81" t="s">
        <v>1020</v>
      </c>
      <c r="D603" s="80" t="s">
        <v>475</v>
      </c>
      <c r="E603" s="147">
        <v>0.7</v>
      </c>
      <c r="F603" s="82">
        <f>F598</f>
        <v>28.78</v>
      </c>
    </row>
    <row r="604" spans="1:6">
      <c r="A604" s="176"/>
      <c r="B604" s="177" t="s">
        <v>1194</v>
      </c>
      <c r="C604" s="178" t="s">
        <v>1200</v>
      </c>
      <c r="D604" s="179" t="s">
        <v>470</v>
      </c>
      <c r="E604" s="179"/>
      <c r="F604" s="137">
        <f>(E605*F605)+(E606*F606)+(E607*F607)+(E608*F608)</f>
        <v>102.55206799999999</v>
      </c>
    </row>
    <row r="605" spans="1:6">
      <c r="A605" s="80" t="s">
        <v>486</v>
      </c>
      <c r="B605" s="80">
        <v>7697</v>
      </c>
      <c r="C605" s="81" t="s">
        <v>1201</v>
      </c>
      <c r="D605" s="80" t="s">
        <v>470</v>
      </c>
      <c r="E605" s="84">
        <v>1.0389999999999999</v>
      </c>
      <c r="F605" s="225">
        <v>63.71</v>
      </c>
    </row>
    <row r="606" spans="1:6">
      <c r="A606" s="80" t="s">
        <v>486</v>
      </c>
      <c r="B606" s="80" t="s">
        <v>1141</v>
      </c>
      <c r="C606" s="81" t="s">
        <v>1142</v>
      </c>
      <c r="D606" s="80" t="s">
        <v>541</v>
      </c>
      <c r="E606" s="84">
        <f>1.13/50</f>
        <v>2.2599999999999999E-2</v>
      </c>
      <c r="F606" s="223">
        <f>14.53</f>
        <v>14.53</v>
      </c>
    </row>
    <row r="607" spans="1:6" ht="31.5">
      <c r="A607" s="80" t="s">
        <v>472</v>
      </c>
      <c r="B607" s="80" t="s">
        <v>1016</v>
      </c>
      <c r="C607" s="81" t="s">
        <v>1017</v>
      </c>
      <c r="D607" s="80" t="s">
        <v>475</v>
      </c>
      <c r="E607" s="147">
        <v>0.7</v>
      </c>
      <c r="F607" s="82">
        <f>F602</f>
        <v>22.69</v>
      </c>
    </row>
    <row r="608" spans="1:6" ht="31.5">
      <c r="A608" s="80" t="s">
        <v>472</v>
      </c>
      <c r="B608" s="80" t="s">
        <v>1019</v>
      </c>
      <c r="C608" s="81" t="s">
        <v>1020</v>
      </c>
      <c r="D608" s="80" t="s">
        <v>475</v>
      </c>
      <c r="E608" s="147">
        <v>0.7</v>
      </c>
      <c r="F608" s="82">
        <f>F603</f>
        <v>28.78</v>
      </c>
    </row>
    <row r="609" spans="1:6">
      <c r="A609" s="176"/>
      <c r="B609" s="177" t="s">
        <v>1194</v>
      </c>
      <c r="C609" s="178" t="s">
        <v>1202</v>
      </c>
      <c r="D609" s="179" t="s">
        <v>470</v>
      </c>
      <c r="E609" s="179"/>
      <c r="F609" s="137">
        <f>(E610*F610)+(E611*F611)+(E612*F612)+(E613*F613)</f>
        <v>131.88753599999998</v>
      </c>
    </row>
    <row r="610" spans="1:6">
      <c r="A610" s="80" t="s">
        <v>486</v>
      </c>
      <c r="B610" s="80" t="s">
        <v>1203</v>
      </c>
      <c r="C610" s="81" t="s">
        <v>1204</v>
      </c>
      <c r="D610" s="80" t="s">
        <v>470</v>
      </c>
      <c r="E610" s="84">
        <v>1.0389999999999999</v>
      </c>
      <c r="F610" s="235">
        <v>91.88</v>
      </c>
    </row>
    <row r="611" spans="1:6">
      <c r="A611" s="80" t="s">
        <v>486</v>
      </c>
      <c r="B611" s="80" t="s">
        <v>1141</v>
      </c>
      <c r="C611" s="81" t="s">
        <v>1142</v>
      </c>
      <c r="D611" s="80" t="s">
        <v>541</v>
      </c>
      <c r="E611" s="84">
        <f>1.36/50</f>
        <v>2.7200000000000002E-2</v>
      </c>
      <c r="F611" s="223">
        <f>14.53</f>
        <v>14.53</v>
      </c>
    </row>
    <row r="612" spans="1:6" ht="31.5">
      <c r="A612" s="80" t="s">
        <v>472</v>
      </c>
      <c r="B612" s="80" t="s">
        <v>1016</v>
      </c>
      <c r="C612" s="81" t="s">
        <v>1017</v>
      </c>
      <c r="D612" s="80" t="s">
        <v>475</v>
      </c>
      <c r="E612" s="147">
        <v>0.7</v>
      </c>
      <c r="F612" s="82">
        <f>F607</f>
        <v>22.69</v>
      </c>
    </row>
    <row r="613" spans="1:6" ht="31.5">
      <c r="A613" s="80" t="s">
        <v>472</v>
      </c>
      <c r="B613" s="80" t="s">
        <v>1019</v>
      </c>
      <c r="C613" s="81" t="s">
        <v>1020</v>
      </c>
      <c r="D613" s="80" t="s">
        <v>475</v>
      </c>
      <c r="E613" s="147">
        <v>0.7</v>
      </c>
      <c r="F613" s="82">
        <f>F608</f>
        <v>28.78</v>
      </c>
    </row>
    <row r="614" spans="1:6">
      <c r="A614" s="176"/>
      <c r="B614" s="177" t="s">
        <v>1194</v>
      </c>
      <c r="C614" s="178" t="s">
        <v>1205</v>
      </c>
      <c r="D614" s="179" t="s">
        <v>470</v>
      </c>
      <c r="E614" s="179"/>
      <c r="F614" s="137">
        <f>(E615*F615)+(E616*F616)+(E617*F617)+(E618*F618)</f>
        <v>154.98689400000001</v>
      </c>
    </row>
    <row r="615" spans="1:6">
      <c r="A615" s="80" t="s">
        <v>486</v>
      </c>
      <c r="B615" s="80">
        <v>7701</v>
      </c>
      <c r="C615" s="81" t="s">
        <v>1206</v>
      </c>
      <c r="D615" s="80" t="s">
        <v>470</v>
      </c>
      <c r="E615" s="84">
        <v>1.0389999999999999</v>
      </c>
      <c r="F615" s="225">
        <v>114.02</v>
      </c>
    </row>
    <row r="616" spans="1:6">
      <c r="A616" s="80" t="s">
        <v>486</v>
      </c>
      <c r="B616" s="80" t="s">
        <v>1141</v>
      </c>
      <c r="C616" s="81" t="s">
        <v>1142</v>
      </c>
      <c r="D616" s="80" t="s">
        <v>541</v>
      </c>
      <c r="E616" s="84">
        <f>1.69/50</f>
        <v>3.3799999999999997E-2</v>
      </c>
      <c r="F616" s="223">
        <f>14.53</f>
        <v>14.53</v>
      </c>
    </row>
    <row r="617" spans="1:6" ht="31.5">
      <c r="A617" s="80" t="s">
        <v>472</v>
      </c>
      <c r="B617" s="80" t="s">
        <v>1016</v>
      </c>
      <c r="C617" s="81" t="s">
        <v>1017</v>
      </c>
      <c r="D617" s="80" t="s">
        <v>475</v>
      </c>
      <c r="E617" s="147">
        <v>0.7</v>
      </c>
      <c r="F617" s="82">
        <f>F612</f>
        <v>22.69</v>
      </c>
    </row>
    <row r="618" spans="1:6" ht="31.5">
      <c r="A618" s="80" t="s">
        <v>472</v>
      </c>
      <c r="B618" s="80" t="s">
        <v>1019</v>
      </c>
      <c r="C618" s="81" t="s">
        <v>1020</v>
      </c>
      <c r="D618" s="80" t="s">
        <v>475</v>
      </c>
      <c r="E618" s="147">
        <v>0.7</v>
      </c>
      <c r="F618" s="82">
        <f>F613</f>
        <v>28.78</v>
      </c>
    </row>
    <row r="619" spans="1:6">
      <c r="A619" s="176"/>
      <c r="B619" s="177" t="s">
        <v>1194</v>
      </c>
      <c r="C619" s="178" t="s">
        <v>1207</v>
      </c>
      <c r="D619" s="179" t="s">
        <v>470</v>
      </c>
      <c r="E619" s="179"/>
      <c r="F619" s="137">
        <f>(E620*F620)+(E621*F621)+(E622*F622)+(E623*F623)</f>
        <v>196.01111199999997</v>
      </c>
    </row>
    <row r="620" spans="1:6">
      <c r="A620" s="80" t="s">
        <v>486</v>
      </c>
      <c r="B620" s="80">
        <v>7694</v>
      </c>
      <c r="C620" s="81" t="s">
        <v>1208</v>
      </c>
      <c r="D620" s="80" t="s">
        <v>470</v>
      </c>
      <c r="E620" s="84">
        <v>1.0389999999999999</v>
      </c>
      <c r="F620" s="225">
        <v>153.44</v>
      </c>
    </row>
    <row r="621" spans="1:6">
      <c r="A621" s="80" t="s">
        <v>486</v>
      </c>
      <c r="B621" s="80" t="s">
        <v>1141</v>
      </c>
      <c r="C621" s="81" t="s">
        <v>1142</v>
      </c>
      <c r="D621" s="80" t="s">
        <v>541</v>
      </c>
      <c r="E621" s="84">
        <f>1.92/50</f>
        <v>3.8399999999999997E-2</v>
      </c>
      <c r="F621" s="223">
        <f>14.53</f>
        <v>14.53</v>
      </c>
    </row>
    <row r="622" spans="1:6" ht="31.5">
      <c r="A622" s="80" t="s">
        <v>472</v>
      </c>
      <c r="B622" s="80" t="s">
        <v>1016</v>
      </c>
      <c r="C622" s="81" t="s">
        <v>1017</v>
      </c>
      <c r="D622" s="80" t="s">
        <v>475</v>
      </c>
      <c r="E622" s="147">
        <v>0.7</v>
      </c>
      <c r="F622" s="82">
        <f>F617</f>
        <v>22.69</v>
      </c>
    </row>
    <row r="623" spans="1:6" ht="31.5">
      <c r="A623" s="80" t="s">
        <v>472</v>
      </c>
      <c r="B623" s="80" t="s">
        <v>1019</v>
      </c>
      <c r="C623" s="81" t="s">
        <v>1020</v>
      </c>
      <c r="D623" s="80" t="s">
        <v>475</v>
      </c>
      <c r="E623" s="147">
        <v>0.7</v>
      </c>
      <c r="F623" s="82">
        <f>F618</f>
        <v>28.78</v>
      </c>
    </row>
    <row r="624" spans="1:6" ht="31.5">
      <c r="A624" s="176"/>
      <c r="B624" s="177">
        <v>95696</v>
      </c>
      <c r="C624" s="178" t="s">
        <v>1209</v>
      </c>
      <c r="D624" s="179" t="s">
        <v>1139</v>
      </c>
      <c r="E624" s="179"/>
      <c r="F624" s="224">
        <v>44.36</v>
      </c>
    </row>
    <row r="625" spans="1:6">
      <c r="A625" s="80" t="s">
        <v>486</v>
      </c>
      <c r="B625" s="80" t="s">
        <v>1141</v>
      </c>
      <c r="C625" s="81" t="s">
        <v>1142</v>
      </c>
      <c r="D625" s="80" t="s">
        <v>541</v>
      </c>
      <c r="E625" s="84" t="s">
        <v>836</v>
      </c>
      <c r="F625" s="223"/>
    </row>
    <row r="626" spans="1:6" ht="31.5">
      <c r="A626" s="80" t="s">
        <v>486</v>
      </c>
      <c r="B626" s="80" t="s">
        <v>1210</v>
      </c>
      <c r="C626" s="81" t="s">
        <v>1211</v>
      </c>
      <c r="D626" s="80" t="s">
        <v>541</v>
      </c>
      <c r="E626" s="84" t="s">
        <v>569</v>
      </c>
      <c r="F626" s="225"/>
    </row>
    <row r="627" spans="1:6" ht="31.5">
      <c r="A627" s="80" t="s">
        <v>486</v>
      </c>
      <c r="B627" s="80" t="s">
        <v>1212</v>
      </c>
      <c r="C627" s="81" t="s">
        <v>1213</v>
      </c>
      <c r="D627" s="80" t="s">
        <v>541</v>
      </c>
      <c r="E627" s="84" t="s">
        <v>569</v>
      </c>
      <c r="F627" s="225"/>
    </row>
    <row r="628" spans="1:6" ht="31.5">
      <c r="A628" s="80" t="s">
        <v>472</v>
      </c>
      <c r="B628" s="80" t="s">
        <v>1016</v>
      </c>
      <c r="C628" s="81" t="s">
        <v>1017</v>
      </c>
      <c r="D628" s="80" t="s">
        <v>475</v>
      </c>
      <c r="E628" s="84" t="s">
        <v>733</v>
      </c>
      <c r="F628" s="225"/>
    </row>
    <row r="629" spans="1:6" ht="31.5">
      <c r="A629" s="80" t="s">
        <v>472</v>
      </c>
      <c r="B629" s="80" t="s">
        <v>1019</v>
      </c>
      <c r="C629" s="81" t="s">
        <v>1020</v>
      </c>
      <c r="D629" s="80" t="s">
        <v>475</v>
      </c>
      <c r="E629" s="84" t="s">
        <v>733</v>
      </c>
      <c r="F629" s="225"/>
    </row>
    <row r="630" spans="1:6">
      <c r="A630" s="176"/>
      <c r="B630" s="177" t="s">
        <v>565</v>
      </c>
      <c r="C630" s="178" t="s">
        <v>1214</v>
      </c>
      <c r="D630" s="179" t="s">
        <v>1139</v>
      </c>
      <c r="E630" s="179"/>
      <c r="F630" s="137">
        <f>(E631*F631)+(E632*F632)+(E633*F633)</f>
        <v>11.299000000000001</v>
      </c>
    </row>
    <row r="631" spans="1:6">
      <c r="A631" s="80" t="s">
        <v>486</v>
      </c>
      <c r="B631" s="80">
        <v>390</v>
      </c>
      <c r="C631" s="81" t="s">
        <v>1215</v>
      </c>
      <c r="D631" s="80" t="s">
        <v>541</v>
      </c>
      <c r="E631" s="84">
        <v>1</v>
      </c>
      <c r="F631" s="225">
        <v>8.1300000000000008</v>
      </c>
    </row>
    <row r="632" spans="1:6">
      <c r="A632" s="80" t="s">
        <v>486</v>
      </c>
      <c r="B632" s="83">
        <v>4333</v>
      </c>
      <c r="C632" s="81" t="s">
        <v>1216</v>
      </c>
      <c r="D632" s="80" t="s">
        <v>541</v>
      </c>
      <c r="E632" s="84">
        <v>3</v>
      </c>
      <c r="F632" s="225">
        <v>0.3</v>
      </c>
    </row>
    <row r="633" spans="1:6" ht="31.5">
      <c r="A633" s="80" t="s">
        <v>472</v>
      </c>
      <c r="B633" s="80" t="s">
        <v>1016</v>
      </c>
      <c r="C633" s="81" t="s">
        <v>1017</v>
      </c>
      <c r="D633" s="80" t="s">
        <v>475</v>
      </c>
      <c r="E633" s="84">
        <v>0.1</v>
      </c>
      <c r="F633" s="225">
        <v>22.69</v>
      </c>
    </row>
    <row r="634" spans="1:6">
      <c r="A634" s="176"/>
      <c r="B634" s="177" t="s">
        <v>1217</v>
      </c>
      <c r="C634" s="178" t="s">
        <v>1218</v>
      </c>
      <c r="D634" s="179" t="s">
        <v>961</v>
      </c>
      <c r="E634" s="179"/>
      <c r="F634" s="137">
        <f>(E635*F635)+(E636*F636)</f>
        <v>6176.4000000000005</v>
      </c>
    </row>
    <row r="635" spans="1:6" ht="31.5">
      <c r="A635" s="80" t="s">
        <v>472</v>
      </c>
      <c r="B635" s="165">
        <v>88248</v>
      </c>
      <c r="C635" s="169" t="s">
        <v>1219</v>
      </c>
      <c r="D635" s="163" t="s">
        <v>475</v>
      </c>
      <c r="E635" s="170">
        <v>80</v>
      </c>
      <c r="F635" s="225">
        <f>22.69*1.5</f>
        <v>34.035000000000004</v>
      </c>
    </row>
    <row r="636" spans="1:6" ht="31.5">
      <c r="A636" s="80" t="s">
        <v>472</v>
      </c>
      <c r="B636" s="165">
        <v>88267</v>
      </c>
      <c r="C636" s="169" t="s">
        <v>1220</v>
      </c>
      <c r="D636" s="163" t="s">
        <v>475</v>
      </c>
      <c r="E636" s="170">
        <v>80</v>
      </c>
      <c r="F636" s="225">
        <f>28.78*1.5</f>
        <v>43.17</v>
      </c>
    </row>
    <row r="637" spans="1:6">
      <c r="A637" s="176"/>
      <c r="B637" s="177" t="s">
        <v>1217</v>
      </c>
      <c r="C637" s="178" t="s">
        <v>1221</v>
      </c>
      <c r="D637" s="179" t="s">
        <v>961</v>
      </c>
      <c r="E637" s="179"/>
      <c r="F637" s="137">
        <f>(E638*F638)+(E639*F639)</f>
        <v>926.46</v>
      </c>
    </row>
    <row r="638" spans="1:6" ht="31.5">
      <c r="A638" s="80" t="s">
        <v>472</v>
      </c>
      <c r="B638" s="165">
        <v>88248</v>
      </c>
      <c r="C638" s="169" t="s">
        <v>1219</v>
      </c>
      <c r="D638" s="163" t="s">
        <v>475</v>
      </c>
      <c r="E638" s="170">
        <v>12</v>
      </c>
      <c r="F638" s="225">
        <f>22.69*1.5</f>
        <v>34.035000000000004</v>
      </c>
    </row>
    <row r="639" spans="1:6" ht="31.5">
      <c r="A639" s="80" t="s">
        <v>472</v>
      </c>
      <c r="B639" s="165">
        <v>88267</v>
      </c>
      <c r="C639" s="169" t="s">
        <v>1220</v>
      </c>
      <c r="D639" s="163" t="s">
        <v>475</v>
      </c>
      <c r="E639" s="170">
        <v>12</v>
      </c>
      <c r="F639" s="225">
        <f>28.78*1.5</f>
        <v>43.17</v>
      </c>
    </row>
    <row r="640" spans="1:6">
      <c r="A640" s="176"/>
      <c r="B640" s="177" t="s">
        <v>1217</v>
      </c>
      <c r="C640" s="178" t="s">
        <v>1222</v>
      </c>
      <c r="D640" s="179" t="s">
        <v>961</v>
      </c>
      <c r="E640" s="179"/>
      <c r="F640" s="137">
        <f>(E641*F641)+(E642*F642)</f>
        <v>46720.800000000003</v>
      </c>
    </row>
    <row r="641" spans="1:11" ht="31.5">
      <c r="A641" s="80" t="s">
        <v>472</v>
      </c>
      <c r="B641" s="165">
        <v>88248</v>
      </c>
      <c r="C641" s="169" t="s">
        <v>1219</v>
      </c>
      <c r="D641" s="163" t="s">
        <v>475</v>
      </c>
      <c r="E641" s="170">
        <v>840</v>
      </c>
      <c r="F641" s="225">
        <f>22.69*1.5</f>
        <v>34.035000000000004</v>
      </c>
    </row>
    <row r="642" spans="1:11" ht="31.5">
      <c r="A642" s="80" t="s">
        <v>472</v>
      </c>
      <c r="B642" s="165">
        <v>88267</v>
      </c>
      <c r="C642" s="169" t="s">
        <v>1220</v>
      </c>
      <c r="D642" s="163" t="s">
        <v>475</v>
      </c>
      <c r="E642" s="170">
        <v>420</v>
      </c>
      <c r="F642" s="225">
        <f>28.78*1.5</f>
        <v>43.17</v>
      </c>
    </row>
    <row r="643" spans="1:11">
      <c r="A643" s="176"/>
      <c r="B643" s="177" t="s">
        <v>1217</v>
      </c>
      <c r="C643" s="178" t="s">
        <v>1223</v>
      </c>
      <c r="D643" s="179" t="s">
        <v>961</v>
      </c>
      <c r="E643" s="179"/>
      <c r="F643" s="137">
        <f>(E644*F644)+(E645*F645)</f>
        <v>1767.36</v>
      </c>
    </row>
    <row r="644" spans="1:11" ht="31.5">
      <c r="A644" s="80" t="s">
        <v>472</v>
      </c>
      <c r="B644" s="171">
        <v>100722</v>
      </c>
      <c r="C644" s="169" t="s">
        <v>1224</v>
      </c>
      <c r="D644" s="163" t="s">
        <v>482</v>
      </c>
      <c r="E644" s="170">
        <v>42</v>
      </c>
      <c r="F644" s="225">
        <v>26.24</v>
      </c>
    </row>
    <row r="645" spans="1:11" ht="31.5">
      <c r="A645" s="80" t="s">
        <v>472</v>
      </c>
      <c r="B645" s="171">
        <v>100736</v>
      </c>
      <c r="C645" s="169" t="s">
        <v>1225</v>
      </c>
      <c r="D645" s="163" t="s">
        <v>482</v>
      </c>
      <c r="E645" s="170">
        <v>42</v>
      </c>
      <c r="F645" s="225">
        <v>15.84</v>
      </c>
    </row>
    <row r="646" spans="1:11" ht="31.5">
      <c r="A646" s="180"/>
      <c r="B646" s="181">
        <v>91120</v>
      </c>
      <c r="C646" s="182" t="s">
        <v>1226</v>
      </c>
      <c r="D646" s="183" t="s">
        <v>961</v>
      </c>
      <c r="E646" s="184"/>
      <c r="F646" s="228">
        <f>E647*F647</f>
        <v>251.25949800000001</v>
      </c>
    </row>
    <row r="647" spans="1:11">
      <c r="A647" s="172" t="s">
        <v>472</v>
      </c>
      <c r="B647" s="172" t="s">
        <v>477</v>
      </c>
      <c r="C647" s="173" t="s">
        <v>478</v>
      </c>
      <c r="D647" s="172" t="s">
        <v>475</v>
      </c>
      <c r="E647" s="174">
        <f>0.0277*(414)</f>
        <v>11.4678</v>
      </c>
      <c r="F647" s="229">
        <v>21.91</v>
      </c>
    </row>
    <row r="648" spans="1:11">
      <c r="A648" s="144"/>
      <c r="B648" s="151" t="s">
        <v>565</v>
      </c>
      <c r="C648" s="144" t="s">
        <v>1227</v>
      </c>
      <c r="D648" s="151" t="s">
        <v>961</v>
      </c>
      <c r="E648" s="144"/>
      <c r="F648" s="137">
        <f>(E649*F649)+(E650*F650)</f>
        <v>1121.52</v>
      </c>
    </row>
    <row r="649" spans="1:11">
      <c r="A649" s="172" t="s">
        <v>472</v>
      </c>
      <c r="B649" s="91">
        <v>90775</v>
      </c>
      <c r="C649" s="169" t="s">
        <v>1228</v>
      </c>
      <c r="D649" s="163" t="s">
        <v>475</v>
      </c>
      <c r="E649" s="170">
        <f>4*8</f>
        <v>32</v>
      </c>
      <c r="F649" s="225">
        <v>17.46</v>
      </c>
    </row>
    <row r="650" spans="1:11">
      <c r="A650" s="172" t="s">
        <v>472</v>
      </c>
      <c r="B650" s="91">
        <v>90771</v>
      </c>
      <c r="C650" s="169" t="s">
        <v>1229</v>
      </c>
      <c r="D650" s="163" t="s">
        <v>475</v>
      </c>
      <c r="E650" s="170">
        <v>40</v>
      </c>
      <c r="F650" s="225">
        <v>14.07</v>
      </c>
      <c r="H650" s="242" t="s">
        <v>1230</v>
      </c>
      <c r="I650" s="242" t="s">
        <v>1231</v>
      </c>
      <c r="J650" s="242" t="s">
        <v>1232</v>
      </c>
      <c r="K650" s="242" t="s">
        <v>1233</v>
      </c>
    </row>
    <row r="651" spans="1:11" ht="31.5">
      <c r="A651" s="211"/>
      <c r="B651" s="156" t="s">
        <v>565</v>
      </c>
      <c r="C651" s="212" t="s">
        <v>1234</v>
      </c>
      <c r="D651" s="213" t="s">
        <v>135</v>
      </c>
      <c r="E651" s="245"/>
      <c r="F651" s="241">
        <f>AVERAGE(H651:K651)</f>
        <v>16.72</v>
      </c>
      <c r="G651" s="210"/>
      <c r="H651" s="243">
        <v>15</v>
      </c>
      <c r="I651" s="243">
        <v>15.38</v>
      </c>
      <c r="J651" s="243">
        <v>20.5</v>
      </c>
      <c r="K651" s="244">
        <v>16</v>
      </c>
    </row>
    <row r="652" spans="1:11" ht="31.5">
      <c r="A652" s="211"/>
      <c r="B652" s="156" t="s">
        <v>565</v>
      </c>
      <c r="C652" s="212" t="s">
        <v>1235</v>
      </c>
      <c r="D652" s="213" t="s">
        <v>135</v>
      </c>
      <c r="E652" s="245"/>
      <c r="F652" s="241">
        <f t="shared" ref="F652:F661" si="2">AVERAGE(H652:K652)</f>
        <v>17.7075</v>
      </c>
      <c r="G652" s="210"/>
      <c r="H652" s="243">
        <v>15</v>
      </c>
      <c r="I652" s="243">
        <v>15.38</v>
      </c>
      <c r="J652" s="243">
        <v>25.5</v>
      </c>
      <c r="K652" s="244">
        <v>14.95</v>
      </c>
    </row>
    <row r="653" spans="1:11">
      <c r="A653" s="211"/>
      <c r="B653" s="156" t="s">
        <v>565</v>
      </c>
      <c r="C653" s="212" t="s">
        <v>1236</v>
      </c>
      <c r="D653" s="213" t="s">
        <v>135</v>
      </c>
      <c r="E653" s="245"/>
      <c r="F653" s="241">
        <f t="shared" si="2"/>
        <v>17.97</v>
      </c>
      <c r="G653" s="210"/>
      <c r="H653" s="243">
        <v>15</v>
      </c>
      <c r="I653" s="243">
        <v>15.38</v>
      </c>
      <c r="J653" s="243">
        <v>25.5</v>
      </c>
      <c r="K653" s="244">
        <v>16</v>
      </c>
    </row>
    <row r="654" spans="1:11" ht="31.5">
      <c r="A654" s="211"/>
      <c r="B654" s="156" t="s">
        <v>565</v>
      </c>
      <c r="C654" s="212" t="s">
        <v>1237</v>
      </c>
      <c r="D654" s="213" t="s">
        <v>135</v>
      </c>
      <c r="E654" s="245"/>
      <c r="F654" s="241">
        <f t="shared" si="2"/>
        <v>20.5</v>
      </c>
      <c r="G654" s="210"/>
      <c r="H654" s="243"/>
      <c r="I654" s="243"/>
      <c r="J654" s="243">
        <v>25</v>
      </c>
      <c r="K654" s="244">
        <v>16</v>
      </c>
    </row>
    <row r="655" spans="1:11" ht="17.25">
      <c r="A655" s="211"/>
      <c r="B655" s="156" t="s">
        <v>565</v>
      </c>
      <c r="C655" s="212" t="s">
        <v>1238</v>
      </c>
      <c r="D655" s="213" t="s">
        <v>135</v>
      </c>
      <c r="E655" s="245"/>
      <c r="F655" s="241">
        <f t="shared" si="2"/>
        <v>54.164999999999999</v>
      </c>
      <c r="G655" s="210"/>
      <c r="H655" s="243">
        <v>55</v>
      </c>
      <c r="I655" s="243">
        <v>66.66</v>
      </c>
      <c r="J655" s="243">
        <v>50</v>
      </c>
      <c r="K655" s="244">
        <v>45</v>
      </c>
    </row>
    <row r="656" spans="1:11">
      <c r="A656" s="211"/>
      <c r="B656" s="156" t="s">
        <v>565</v>
      </c>
      <c r="C656" s="212" t="s">
        <v>1239</v>
      </c>
      <c r="D656" s="213" t="s">
        <v>135</v>
      </c>
      <c r="E656" s="245"/>
      <c r="F656" s="241">
        <f t="shared" si="2"/>
        <v>4.126666666666666</v>
      </c>
      <c r="G656" s="210"/>
      <c r="H656" s="243">
        <v>5</v>
      </c>
      <c r="I656" s="243">
        <v>3.38</v>
      </c>
      <c r="J656" s="243"/>
      <c r="K656" s="244">
        <v>4</v>
      </c>
    </row>
    <row r="657" spans="1:11">
      <c r="A657" s="211"/>
      <c r="B657" s="156" t="s">
        <v>565</v>
      </c>
      <c r="C657" s="212" t="s">
        <v>1240</v>
      </c>
      <c r="D657" s="213" t="s">
        <v>135</v>
      </c>
      <c r="E657" s="245"/>
      <c r="F657" s="241">
        <f t="shared" si="2"/>
        <v>3.9433333333333329</v>
      </c>
      <c r="G657" s="210"/>
      <c r="H657" s="243">
        <v>5</v>
      </c>
      <c r="I657" s="243">
        <v>3.38</v>
      </c>
      <c r="J657" s="243"/>
      <c r="K657" s="244">
        <v>3.45</v>
      </c>
    </row>
    <row r="658" spans="1:11">
      <c r="A658" s="211"/>
      <c r="B658" s="151" t="s">
        <v>565</v>
      </c>
      <c r="C658" s="212" t="s">
        <v>1241</v>
      </c>
      <c r="D658" s="213" t="s">
        <v>135</v>
      </c>
      <c r="E658" s="245"/>
      <c r="F658" s="241">
        <f t="shared" si="2"/>
        <v>4.126666666666666</v>
      </c>
      <c r="G658" s="210"/>
      <c r="H658" s="243">
        <v>5</v>
      </c>
      <c r="I658" s="243">
        <v>3.38</v>
      </c>
      <c r="J658" s="243"/>
      <c r="K658" s="244">
        <v>4</v>
      </c>
    </row>
    <row r="659" spans="1:11" ht="17.25" customHeight="1">
      <c r="A659" s="211"/>
      <c r="B659" s="151" t="s">
        <v>565</v>
      </c>
      <c r="C659" s="212" t="s">
        <v>1242</v>
      </c>
      <c r="D659" s="213" t="s">
        <v>135</v>
      </c>
      <c r="E659" s="245"/>
      <c r="F659" s="241">
        <f t="shared" si="2"/>
        <v>4</v>
      </c>
      <c r="G659" s="210"/>
      <c r="H659" s="243"/>
      <c r="I659" s="243"/>
      <c r="J659" s="243"/>
      <c r="K659" s="244">
        <v>4</v>
      </c>
    </row>
    <row r="660" spans="1:11" ht="17.25">
      <c r="A660" s="211"/>
      <c r="B660" s="151" t="s">
        <v>565</v>
      </c>
      <c r="C660" s="212" t="s">
        <v>1243</v>
      </c>
      <c r="D660" s="213" t="s">
        <v>135</v>
      </c>
      <c r="E660" s="245"/>
      <c r="F660" s="241">
        <f t="shared" si="2"/>
        <v>8.2033333333333331</v>
      </c>
      <c r="G660" s="210"/>
      <c r="H660" s="243">
        <v>14</v>
      </c>
      <c r="I660" s="243">
        <v>7.4</v>
      </c>
      <c r="J660" s="243"/>
      <c r="K660" s="244">
        <v>3.21</v>
      </c>
    </row>
    <row r="661" spans="1:11">
      <c r="A661" s="211"/>
      <c r="B661" s="151" t="s">
        <v>565</v>
      </c>
      <c r="C661" s="212" t="s">
        <v>1244</v>
      </c>
      <c r="D661" s="213" t="s">
        <v>135</v>
      </c>
      <c r="E661" s="245"/>
      <c r="F661" s="241">
        <f t="shared" si="2"/>
        <v>8.49</v>
      </c>
      <c r="G661" s="210"/>
      <c r="H661" s="243">
        <v>7</v>
      </c>
      <c r="I661" s="243">
        <v>5.47</v>
      </c>
      <c r="J661" s="243">
        <v>13</v>
      </c>
      <c r="K661" s="244"/>
    </row>
    <row r="662" spans="1:11" ht="47.25">
      <c r="A662" s="156"/>
      <c r="B662" s="156" t="s">
        <v>1245</v>
      </c>
      <c r="C662" s="246" t="s">
        <v>1246</v>
      </c>
      <c r="D662" s="156" t="s">
        <v>805</v>
      </c>
      <c r="E662" s="156" t="s">
        <v>471</v>
      </c>
      <c r="F662" s="156">
        <v>656.03</v>
      </c>
    </row>
    <row r="663" spans="1:11" ht="31.5">
      <c r="A663" s="91" t="s">
        <v>486</v>
      </c>
      <c r="B663" s="91" t="s">
        <v>1247</v>
      </c>
      <c r="C663" s="90" t="s">
        <v>1248</v>
      </c>
      <c r="D663" s="91" t="s">
        <v>534</v>
      </c>
      <c r="E663" s="91" t="s">
        <v>1249</v>
      </c>
      <c r="F663" s="91" t="s">
        <v>471</v>
      </c>
    </row>
    <row r="664" spans="1:11" ht="31.5">
      <c r="A664" s="91" t="s">
        <v>486</v>
      </c>
      <c r="B664" s="91" t="s">
        <v>1250</v>
      </c>
      <c r="C664" s="90" t="s">
        <v>1251</v>
      </c>
      <c r="D664" s="91" t="s">
        <v>470</v>
      </c>
      <c r="E664" s="91" t="s">
        <v>1252</v>
      </c>
      <c r="F664" s="91" t="s">
        <v>471</v>
      </c>
    </row>
    <row r="665" spans="1:11" ht="31.5">
      <c r="A665" s="91" t="s">
        <v>486</v>
      </c>
      <c r="B665" s="91" t="s">
        <v>1253</v>
      </c>
      <c r="C665" s="90" t="s">
        <v>1254</v>
      </c>
      <c r="D665" s="91" t="s">
        <v>470</v>
      </c>
      <c r="E665" s="91" t="s">
        <v>1255</v>
      </c>
      <c r="F665" s="91" t="s">
        <v>471</v>
      </c>
    </row>
    <row r="666" spans="1:11">
      <c r="A666" s="91" t="s">
        <v>486</v>
      </c>
      <c r="B666" s="91" t="s">
        <v>1256</v>
      </c>
      <c r="C666" s="90" t="s">
        <v>1257</v>
      </c>
      <c r="D666" s="91" t="s">
        <v>489</v>
      </c>
      <c r="E666" s="91" t="s">
        <v>1258</v>
      </c>
      <c r="F666" s="91" t="s">
        <v>471</v>
      </c>
    </row>
    <row r="667" spans="1:11" ht="47.25">
      <c r="A667" s="91" t="s">
        <v>486</v>
      </c>
      <c r="B667" s="91" t="s">
        <v>1259</v>
      </c>
      <c r="C667" s="90" t="s">
        <v>1260</v>
      </c>
      <c r="D667" s="91" t="s">
        <v>805</v>
      </c>
      <c r="E667" s="91" t="s">
        <v>1261</v>
      </c>
      <c r="F667" s="91" t="s">
        <v>471</v>
      </c>
    </row>
    <row r="668" spans="1:11">
      <c r="A668" s="91" t="s">
        <v>472</v>
      </c>
      <c r="B668" s="91" t="s">
        <v>1262</v>
      </c>
      <c r="C668" s="90" t="s">
        <v>1263</v>
      </c>
      <c r="D668" s="91" t="s">
        <v>475</v>
      </c>
      <c r="E668" s="91" t="s">
        <v>1264</v>
      </c>
      <c r="F668" s="91" t="s">
        <v>471</v>
      </c>
    </row>
    <row r="669" spans="1:11">
      <c r="A669" s="91" t="s">
        <v>472</v>
      </c>
      <c r="B669" s="91" t="s">
        <v>518</v>
      </c>
      <c r="C669" s="90" t="s">
        <v>519</v>
      </c>
      <c r="D669" s="91" t="s">
        <v>475</v>
      </c>
      <c r="E669" s="91" t="s">
        <v>1265</v>
      </c>
      <c r="F669" s="91" t="s">
        <v>471</v>
      </c>
    </row>
    <row r="670" spans="1:11">
      <c r="A670" s="91" t="s">
        <v>472</v>
      </c>
      <c r="B670" s="91" t="s">
        <v>477</v>
      </c>
      <c r="C670" s="90" t="s">
        <v>478</v>
      </c>
      <c r="D670" s="91" t="s">
        <v>475</v>
      </c>
      <c r="E670" s="91" t="s">
        <v>1266</v>
      </c>
      <c r="F670" s="91" t="s">
        <v>471</v>
      </c>
    </row>
    <row r="671" spans="1:11" ht="31.5">
      <c r="A671" s="156"/>
      <c r="B671" s="156">
        <v>95241</v>
      </c>
      <c r="C671" s="246" t="s">
        <v>1267</v>
      </c>
      <c r="D671" s="156" t="s">
        <v>482</v>
      </c>
      <c r="E671" s="156"/>
      <c r="F671" s="156">
        <v>38.369999999999997</v>
      </c>
    </row>
    <row r="672" spans="1:11">
      <c r="A672" s="91" t="s">
        <v>472</v>
      </c>
      <c r="B672" s="91" t="s">
        <v>518</v>
      </c>
      <c r="C672" s="90" t="s">
        <v>519</v>
      </c>
      <c r="D672" s="91" t="s">
        <v>475</v>
      </c>
      <c r="E672" s="91" t="s">
        <v>1268</v>
      </c>
      <c r="F672" s="91"/>
    </row>
    <row r="673" spans="1:6">
      <c r="A673" s="91" t="s">
        <v>472</v>
      </c>
      <c r="B673" s="91" t="s">
        <v>477</v>
      </c>
      <c r="C673" s="90" t="s">
        <v>478</v>
      </c>
      <c r="D673" s="91" t="s">
        <v>475</v>
      </c>
      <c r="E673" s="91" t="s">
        <v>1269</v>
      </c>
      <c r="F673" s="91"/>
    </row>
    <row r="674" spans="1:6" ht="47.25">
      <c r="A674" s="91" t="s">
        <v>472</v>
      </c>
      <c r="B674" s="91" t="s">
        <v>1270</v>
      </c>
      <c r="C674" s="90" t="s">
        <v>1271</v>
      </c>
      <c r="D674" s="91" t="s">
        <v>805</v>
      </c>
      <c r="E674" s="91" t="s">
        <v>1272</v>
      </c>
      <c r="F674" s="91"/>
    </row>
    <row r="675" spans="1:6" ht="31.5">
      <c r="A675" s="156"/>
      <c r="B675" s="156">
        <v>96624</v>
      </c>
      <c r="C675" s="246" t="s">
        <v>1273</v>
      </c>
      <c r="D675" s="156" t="s">
        <v>805</v>
      </c>
      <c r="E675" s="156"/>
      <c r="F675" s="156">
        <v>249.21</v>
      </c>
    </row>
    <row r="676" spans="1:6" ht="31.5">
      <c r="A676" s="89" t="s">
        <v>486</v>
      </c>
      <c r="B676" s="89" t="s">
        <v>1274</v>
      </c>
      <c r="C676" s="90" t="s">
        <v>1275</v>
      </c>
      <c r="D676" s="89" t="s">
        <v>805</v>
      </c>
      <c r="E676" s="89" t="s">
        <v>1276</v>
      </c>
      <c r="F676" s="89"/>
    </row>
    <row r="677" spans="1:6">
      <c r="A677" s="89" t="s">
        <v>472</v>
      </c>
      <c r="B677" s="89" t="s">
        <v>518</v>
      </c>
      <c r="C677" s="90" t="s">
        <v>519</v>
      </c>
      <c r="D677" s="89" t="s">
        <v>475</v>
      </c>
      <c r="E677" s="89" t="s">
        <v>1277</v>
      </c>
      <c r="F677" s="89"/>
    </row>
    <row r="678" spans="1:6">
      <c r="A678" s="89" t="s">
        <v>472</v>
      </c>
      <c r="B678" s="89" t="s">
        <v>477</v>
      </c>
      <c r="C678" s="90" t="s">
        <v>478</v>
      </c>
      <c r="D678" s="89" t="s">
        <v>475</v>
      </c>
      <c r="E678" s="89" t="s">
        <v>1278</v>
      </c>
      <c r="F678" s="89"/>
    </row>
    <row r="679" spans="1:6" ht="31.5">
      <c r="A679" s="89" t="s">
        <v>472</v>
      </c>
      <c r="B679" s="89" t="s">
        <v>1279</v>
      </c>
      <c r="C679" s="90" t="s">
        <v>1280</v>
      </c>
      <c r="D679" s="89" t="s">
        <v>524</v>
      </c>
      <c r="E679" s="89" t="s">
        <v>1281</v>
      </c>
      <c r="F679" s="89"/>
    </row>
    <row r="680" spans="1:6" ht="31.5">
      <c r="A680" s="89" t="s">
        <v>472</v>
      </c>
      <c r="B680" s="89" t="s">
        <v>1282</v>
      </c>
      <c r="C680" s="90" t="s">
        <v>1283</v>
      </c>
      <c r="D680" s="89" t="s">
        <v>528</v>
      </c>
      <c r="E680" s="89" t="s">
        <v>1073</v>
      </c>
      <c r="F680" s="89"/>
    </row>
    <row r="681" spans="1:6" ht="31.5">
      <c r="A681" s="156"/>
      <c r="B681" s="156">
        <v>103913</v>
      </c>
      <c r="C681" s="246" t="s">
        <v>1284</v>
      </c>
      <c r="D681" s="156" t="s">
        <v>482</v>
      </c>
      <c r="E681" s="156"/>
      <c r="F681" s="156">
        <v>114.82</v>
      </c>
    </row>
    <row r="682" spans="1:6" ht="31.5">
      <c r="A682" s="89" t="s">
        <v>486</v>
      </c>
      <c r="B682" s="89" t="s">
        <v>1253</v>
      </c>
      <c r="C682" s="90" t="s">
        <v>1254</v>
      </c>
      <c r="D682" s="89" t="s">
        <v>470</v>
      </c>
      <c r="E682" s="89" t="s">
        <v>1285</v>
      </c>
      <c r="F682" s="89"/>
    </row>
    <row r="683" spans="1:6">
      <c r="A683" s="89" t="s">
        <v>486</v>
      </c>
      <c r="B683" s="89" t="s">
        <v>1286</v>
      </c>
      <c r="C683" s="90" t="s">
        <v>1287</v>
      </c>
      <c r="D683" s="89" t="s">
        <v>489</v>
      </c>
      <c r="E683" s="89" t="s">
        <v>1288</v>
      </c>
      <c r="F683" s="89"/>
    </row>
    <row r="684" spans="1:6" ht="47.25">
      <c r="A684" s="89" t="s">
        <v>486</v>
      </c>
      <c r="B684" s="89" t="s">
        <v>1259</v>
      </c>
      <c r="C684" s="90" t="s">
        <v>1260</v>
      </c>
      <c r="D684" s="89" t="s">
        <v>805</v>
      </c>
      <c r="E684" s="89" t="s">
        <v>1289</v>
      </c>
      <c r="F684" s="89"/>
    </row>
    <row r="685" spans="1:6" ht="31.5">
      <c r="A685" s="89" t="s">
        <v>486</v>
      </c>
      <c r="B685" s="89" t="s">
        <v>1290</v>
      </c>
      <c r="C685" s="90" t="s">
        <v>1291</v>
      </c>
      <c r="D685" s="89" t="s">
        <v>489</v>
      </c>
      <c r="E685" s="89" t="s">
        <v>711</v>
      </c>
      <c r="F685" s="89"/>
    </row>
    <row r="686" spans="1:6" ht="31.5">
      <c r="A686" s="89" t="s">
        <v>486</v>
      </c>
      <c r="B686" s="89" t="s">
        <v>1292</v>
      </c>
      <c r="C686" s="90" t="s">
        <v>1293</v>
      </c>
      <c r="D686" s="89" t="s">
        <v>470</v>
      </c>
      <c r="E686" s="89" t="s">
        <v>1294</v>
      </c>
      <c r="F686" s="89"/>
    </row>
    <row r="687" spans="1:6">
      <c r="A687" s="89" t="s">
        <v>472</v>
      </c>
      <c r="B687" s="89" t="s">
        <v>1262</v>
      </c>
      <c r="C687" s="90" t="s">
        <v>1263</v>
      </c>
      <c r="D687" s="89" t="s">
        <v>475</v>
      </c>
      <c r="E687" s="89" t="s">
        <v>1295</v>
      </c>
      <c r="F687" s="89"/>
    </row>
    <row r="688" spans="1:6">
      <c r="A688" s="89" t="s">
        <v>472</v>
      </c>
      <c r="B688" s="89" t="s">
        <v>518</v>
      </c>
      <c r="C688" s="90" t="s">
        <v>519</v>
      </c>
      <c r="D688" s="89" t="s">
        <v>475</v>
      </c>
      <c r="E688" s="89" t="s">
        <v>1296</v>
      </c>
      <c r="F688" s="89"/>
    </row>
    <row r="689" spans="1:6">
      <c r="A689" s="89" t="s">
        <v>472</v>
      </c>
      <c r="B689" s="89" t="s">
        <v>477</v>
      </c>
      <c r="C689" s="90" t="s">
        <v>478</v>
      </c>
      <c r="D689" s="89" t="s">
        <v>475</v>
      </c>
      <c r="E689" s="89" t="s">
        <v>1297</v>
      </c>
      <c r="F689" s="89"/>
    </row>
    <row r="690" spans="1:6" ht="31.5">
      <c r="A690" s="89" t="s">
        <v>472</v>
      </c>
      <c r="B690" s="89" t="s">
        <v>1298</v>
      </c>
      <c r="C690" s="90" t="s">
        <v>1299</v>
      </c>
      <c r="D690" s="89" t="s">
        <v>524</v>
      </c>
      <c r="E690" s="89" t="s">
        <v>1300</v>
      </c>
      <c r="F690" s="89"/>
    </row>
    <row r="691" spans="1:6" ht="31.5">
      <c r="A691" s="89" t="s">
        <v>472</v>
      </c>
      <c r="B691" s="89" t="s">
        <v>1301</v>
      </c>
      <c r="C691" s="90" t="s">
        <v>1302</v>
      </c>
      <c r="D691" s="89" t="s">
        <v>489</v>
      </c>
      <c r="E691" s="89" t="s">
        <v>1303</v>
      </c>
      <c r="F691" s="89"/>
    </row>
    <row r="692" spans="1:6" ht="31.5">
      <c r="A692" s="89" t="s">
        <v>472</v>
      </c>
      <c r="B692" s="89" t="s">
        <v>1304</v>
      </c>
      <c r="C692" s="90" t="s">
        <v>1305</v>
      </c>
      <c r="D692" s="89" t="s">
        <v>482</v>
      </c>
      <c r="E692" s="89" t="s">
        <v>569</v>
      </c>
      <c r="F692" s="89"/>
    </row>
    <row r="693" spans="1:6" ht="31.5">
      <c r="A693" s="89" t="s">
        <v>472</v>
      </c>
      <c r="B693" s="89" t="s">
        <v>1306</v>
      </c>
      <c r="C693" s="90" t="s">
        <v>1307</v>
      </c>
      <c r="D693" s="89" t="s">
        <v>489</v>
      </c>
      <c r="E693" s="89" t="s">
        <v>1308</v>
      </c>
      <c r="F693" s="89"/>
    </row>
    <row r="694" spans="1:6" ht="31.5">
      <c r="A694" s="89" t="s">
        <v>472</v>
      </c>
      <c r="B694" s="89" t="s">
        <v>1309</v>
      </c>
      <c r="C694" s="90" t="s">
        <v>1310</v>
      </c>
      <c r="D694" s="89" t="s">
        <v>489</v>
      </c>
      <c r="E694" s="89" t="s">
        <v>1311</v>
      </c>
      <c r="F694" s="89"/>
    </row>
    <row r="695" spans="1:6" ht="47.25">
      <c r="A695" s="156"/>
      <c r="B695" s="156">
        <v>97083</v>
      </c>
      <c r="C695" s="246" t="s">
        <v>1312</v>
      </c>
      <c r="D695" s="156" t="s">
        <v>482</v>
      </c>
      <c r="E695" s="156"/>
      <c r="F695" s="156">
        <v>3.43</v>
      </c>
    </row>
    <row r="696" spans="1:6">
      <c r="A696" s="89" t="s">
        <v>472</v>
      </c>
      <c r="B696" s="89" t="s">
        <v>518</v>
      </c>
      <c r="C696" s="90" t="s">
        <v>519</v>
      </c>
      <c r="D696" s="89" t="s">
        <v>475</v>
      </c>
      <c r="E696" s="89" t="s">
        <v>1003</v>
      </c>
      <c r="F696" s="89"/>
    </row>
    <row r="697" spans="1:6">
      <c r="A697" s="89" t="s">
        <v>472</v>
      </c>
      <c r="B697" s="89" t="s">
        <v>477</v>
      </c>
      <c r="C697" s="90" t="s">
        <v>478</v>
      </c>
      <c r="D697" s="89" t="s">
        <v>475</v>
      </c>
      <c r="E697" s="89" t="s">
        <v>704</v>
      </c>
      <c r="F697" s="89"/>
    </row>
    <row r="698" spans="1:6" ht="31.5">
      <c r="A698" s="89" t="s">
        <v>472</v>
      </c>
      <c r="B698" s="89" t="s">
        <v>1313</v>
      </c>
      <c r="C698" s="90" t="s">
        <v>1314</v>
      </c>
      <c r="D698" s="89" t="s">
        <v>524</v>
      </c>
      <c r="E698" s="89" t="s">
        <v>525</v>
      </c>
      <c r="F698" s="89"/>
    </row>
    <row r="699" spans="1:6" ht="31.5">
      <c r="A699" s="89" t="s">
        <v>472</v>
      </c>
      <c r="B699" s="89" t="s">
        <v>1315</v>
      </c>
      <c r="C699" s="90" t="s">
        <v>1316</v>
      </c>
      <c r="D699" s="89" t="s">
        <v>528</v>
      </c>
      <c r="E699" s="89" t="s">
        <v>1317</v>
      </c>
      <c r="F699" s="89"/>
    </row>
    <row r="700" spans="1:6" ht="31.5">
      <c r="A700" s="156"/>
      <c r="B700" s="156">
        <v>101090</v>
      </c>
      <c r="C700" s="246" t="s">
        <v>1318</v>
      </c>
      <c r="D700" s="156" t="s">
        <v>482</v>
      </c>
      <c r="E700" s="156"/>
      <c r="F700" s="156">
        <v>202.33</v>
      </c>
    </row>
    <row r="701" spans="1:6" ht="30.75" customHeight="1">
      <c r="A701" s="89" t="s">
        <v>486</v>
      </c>
      <c r="B701" s="89" t="s">
        <v>1319</v>
      </c>
      <c r="C701" s="90" t="s">
        <v>1320</v>
      </c>
      <c r="D701" s="89" t="s">
        <v>805</v>
      </c>
      <c r="E701" s="89" t="s">
        <v>836</v>
      </c>
      <c r="F701" s="89"/>
    </row>
    <row r="702" spans="1:6" ht="31.5">
      <c r="A702" s="89" t="s">
        <v>486</v>
      </c>
      <c r="B702" s="89" t="s">
        <v>1321</v>
      </c>
      <c r="C702" s="90" t="s">
        <v>1322</v>
      </c>
      <c r="D702" s="89" t="s">
        <v>805</v>
      </c>
      <c r="E702" s="89" t="s">
        <v>1323</v>
      </c>
      <c r="F702" s="89"/>
    </row>
    <row r="703" spans="1:6">
      <c r="A703" s="89" t="s">
        <v>486</v>
      </c>
      <c r="B703" s="89" t="s">
        <v>585</v>
      </c>
      <c r="C703" s="90" t="s">
        <v>586</v>
      </c>
      <c r="D703" s="89" t="s">
        <v>489</v>
      </c>
      <c r="E703" s="89" t="s">
        <v>1324</v>
      </c>
      <c r="F703" s="89"/>
    </row>
    <row r="704" spans="1:6">
      <c r="A704" s="89" t="s">
        <v>486</v>
      </c>
      <c r="B704" s="89" t="s">
        <v>1325</v>
      </c>
      <c r="C704" s="90" t="s">
        <v>1326</v>
      </c>
      <c r="D704" s="89" t="s">
        <v>482</v>
      </c>
      <c r="E704" s="89" t="s">
        <v>569</v>
      </c>
      <c r="F704" s="89"/>
    </row>
    <row r="705" spans="1:6">
      <c r="A705" s="89" t="s">
        <v>472</v>
      </c>
      <c r="B705" s="89" t="s">
        <v>1327</v>
      </c>
      <c r="C705" s="90" t="s">
        <v>1328</v>
      </c>
      <c r="D705" s="89" t="s">
        <v>475</v>
      </c>
      <c r="E705" s="89" t="s">
        <v>1329</v>
      </c>
      <c r="F705" s="89"/>
    </row>
    <row r="706" spans="1:6">
      <c r="A706" s="89" t="s">
        <v>472</v>
      </c>
      <c r="B706" s="89" t="s">
        <v>477</v>
      </c>
      <c r="C706" s="90" t="s">
        <v>478</v>
      </c>
      <c r="D706" s="89" t="s">
        <v>475</v>
      </c>
      <c r="E706" s="89" t="s">
        <v>1330</v>
      </c>
      <c r="F706" s="89"/>
    </row>
    <row r="707" spans="1:6">
      <c r="A707" s="156"/>
      <c r="B707" s="156" t="s">
        <v>1331</v>
      </c>
      <c r="C707" s="246" t="s">
        <v>1332</v>
      </c>
      <c r="D707" s="156" t="s">
        <v>482</v>
      </c>
      <c r="E707" s="156" t="s">
        <v>471</v>
      </c>
      <c r="F707" s="156">
        <v>3.23</v>
      </c>
    </row>
    <row r="708" spans="1:6">
      <c r="A708" s="89" t="s">
        <v>472</v>
      </c>
      <c r="B708" s="89" t="s">
        <v>477</v>
      </c>
      <c r="C708" s="90" t="s">
        <v>478</v>
      </c>
      <c r="D708" s="89" t="s">
        <v>475</v>
      </c>
      <c r="E708" s="89" t="s">
        <v>1333</v>
      </c>
      <c r="F708" s="89" t="s">
        <v>471</v>
      </c>
    </row>
    <row r="709" spans="1:6">
      <c r="A709" s="89" t="s">
        <v>472</v>
      </c>
      <c r="B709" s="89" t="s">
        <v>970</v>
      </c>
      <c r="C709" s="90" t="s">
        <v>971</v>
      </c>
      <c r="D709" s="89" t="s">
        <v>475</v>
      </c>
      <c r="E709" s="89" t="s">
        <v>1333</v>
      </c>
      <c r="F709" s="89" t="s">
        <v>471</v>
      </c>
    </row>
    <row r="710" spans="1:6">
      <c r="A710" s="151"/>
      <c r="B710" s="151">
        <v>90778</v>
      </c>
      <c r="C710" s="144" t="s">
        <v>1334</v>
      </c>
      <c r="D710" s="151" t="s">
        <v>475</v>
      </c>
      <c r="E710" s="144"/>
      <c r="F710" s="254">
        <v>126.1</v>
      </c>
    </row>
    <row r="711" spans="1:6">
      <c r="A711" s="144"/>
      <c r="B711" s="209" t="s">
        <v>1335</v>
      </c>
      <c r="C711" s="141" t="s">
        <v>1336</v>
      </c>
      <c r="D711" s="209" t="s">
        <v>475</v>
      </c>
      <c r="E711" s="144"/>
      <c r="F711" s="254">
        <v>115.39</v>
      </c>
    </row>
    <row r="712" spans="1:6" ht="31.5">
      <c r="A712" s="144"/>
      <c r="B712" s="209" t="s">
        <v>1337</v>
      </c>
      <c r="C712" s="141" t="s">
        <v>1338</v>
      </c>
      <c r="D712" s="209" t="s">
        <v>475</v>
      </c>
      <c r="E712" s="144"/>
      <c r="F712" s="254">
        <v>36.22</v>
      </c>
    </row>
    <row r="713" spans="1:6" ht="47.25">
      <c r="A713" s="144"/>
      <c r="B713" s="209" t="s">
        <v>1055</v>
      </c>
      <c r="C713" s="141" t="s">
        <v>1339</v>
      </c>
      <c r="D713" s="209" t="s">
        <v>475</v>
      </c>
      <c r="E713" s="144"/>
      <c r="F713" s="254">
        <v>29.88</v>
      </c>
    </row>
    <row r="714" spans="1:6">
      <c r="A714" s="144"/>
      <c r="B714" s="209" t="s">
        <v>1340</v>
      </c>
      <c r="C714" s="141" t="s">
        <v>1341</v>
      </c>
      <c r="D714" s="209" t="s">
        <v>475</v>
      </c>
      <c r="E714" s="144"/>
      <c r="F714" s="254">
        <v>21.77</v>
      </c>
    </row>
    <row r="715" spans="1:6" ht="31.5">
      <c r="A715" s="144"/>
      <c r="B715" s="156">
        <v>88273</v>
      </c>
      <c r="C715" s="141" t="s">
        <v>1342</v>
      </c>
      <c r="D715" s="209" t="s">
        <v>475</v>
      </c>
      <c r="E715" s="144"/>
      <c r="F715" s="254">
        <v>27.63</v>
      </c>
    </row>
    <row r="716" spans="1:6">
      <c r="C716" s="138"/>
      <c r="D716" s="116"/>
    </row>
  </sheetData>
  <mergeCells count="2">
    <mergeCell ref="H1:J1"/>
    <mergeCell ref="A1:F1"/>
  </mergeCells>
  <phoneticPr fontId="15" type="noConversion"/>
  <conditionalFormatting sqref="A493">
    <cfRule type="expression" dxfId="255" priority="664" stopIfTrue="1">
      <formula>AND(OR($A493="COMPOSICAO",$A493="INSUMO",$A493&lt;&gt;""),$A493&lt;&gt;"")</formula>
    </cfRule>
    <cfRule type="expression" dxfId="254" priority="663" stopIfTrue="1">
      <formula>AND($A493&lt;&gt;"COMPOSICAO",$A493&lt;&gt;"INSUMO",$A493&lt;&gt;"")</formula>
    </cfRule>
  </conditionalFormatting>
  <conditionalFormatting sqref="A499">
    <cfRule type="expression" dxfId="253" priority="656" stopIfTrue="1">
      <formula>AND(OR($A499="COMPOSICAO",$A499="INSUMO",$A499&lt;&gt;""),$A499&lt;&gt;"")</formula>
    </cfRule>
    <cfRule type="expression" dxfId="252" priority="655" stopIfTrue="1">
      <formula>AND($A499&lt;&gt;"COMPOSICAO",$A499&lt;&gt;"INSUMO",$A499&lt;&gt;"")</formula>
    </cfRule>
  </conditionalFormatting>
  <conditionalFormatting sqref="A529">
    <cfRule type="expression" dxfId="251" priority="645" stopIfTrue="1">
      <formula>AND($A529&lt;&gt;"COMPOSICAO",$A529&lt;&gt;"INSUMO",$A529&lt;&gt;"")</formula>
    </cfRule>
    <cfRule type="expression" dxfId="250" priority="646" stopIfTrue="1">
      <formula>AND(OR($A529="COMPOSICAO",$A529="INSUMO",$A529&lt;&gt;""),$A529&lt;&gt;"")</formula>
    </cfRule>
  </conditionalFormatting>
  <conditionalFormatting sqref="A535">
    <cfRule type="expression" dxfId="249" priority="637" stopIfTrue="1">
      <formula>AND($A535&lt;&gt;"COMPOSICAO",$A535&lt;&gt;"INSUMO",$A535&lt;&gt;"")</formula>
    </cfRule>
    <cfRule type="expression" dxfId="248" priority="638" stopIfTrue="1">
      <formula>AND(OR($A535="COMPOSICAO",$A535="INSUMO",$A535&lt;&gt;""),$A535&lt;&gt;"")</formula>
    </cfRule>
  </conditionalFormatting>
  <conditionalFormatting sqref="A541">
    <cfRule type="expression" dxfId="247" priority="630" stopIfTrue="1">
      <formula>AND(OR($A541="COMPOSICAO",$A541="INSUMO",$A541&lt;&gt;""),$A541&lt;&gt;"")</formula>
    </cfRule>
    <cfRule type="expression" dxfId="246" priority="629" stopIfTrue="1">
      <formula>AND($A541&lt;&gt;"COMPOSICAO",$A541&lt;&gt;"INSUMO",$A541&lt;&gt;"")</formula>
    </cfRule>
  </conditionalFormatting>
  <conditionalFormatting sqref="A547">
    <cfRule type="expression" dxfId="245" priority="614" stopIfTrue="1">
      <formula>AND(OR($A547="COMPOSICAO",$A547="INSUMO",$A547&lt;&gt;""),$A547&lt;&gt;"")</formula>
    </cfRule>
    <cfRule type="expression" dxfId="244" priority="613" stopIfTrue="1">
      <formula>AND($A547&lt;&gt;"COMPOSICAO",$A547&lt;&gt;"INSUMO",$A547&lt;&gt;"")</formula>
    </cfRule>
  </conditionalFormatting>
  <conditionalFormatting sqref="A553">
    <cfRule type="expression" dxfId="243" priority="605" stopIfTrue="1">
      <formula>AND($A553&lt;&gt;"COMPOSICAO",$A553&lt;&gt;"INSUMO",$A553&lt;&gt;"")</formula>
    </cfRule>
    <cfRule type="expression" dxfId="242" priority="606" stopIfTrue="1">
      <formula>AND(OR($A553="COMPOSICAO",$A553="INSUMO",$A553&lt;&gt;""),$A553&lt;&gt;"")</formula>
    </cfRule>
  </conditionalFormatting>
  <conditionalFormatting sqref="A559">
    <cfRule type="expression" dxfId="241" priority="597" stopIfTrue="1">
      <formula>AND($A559&lt;&gt;"COMPOSICAO",$A559&lt;&gt;"INSUMO",$A559&lt;&gt;"")</formula>
    </cfRule>
    <cfRule type="expression" dxfId="240" priority="598" stopIfTrue="1">
      <formula>AND(OR($A559="COMPOSICAO",$A559="INSUMO",$A559&lt;&gt;""),$A559&lt;&gt;"")</formula>
    </cfRule>
  </conditionalFormatting>
  <conditionalFormatting sqref="A565">
    <cfRule type="expression" dxfId="239" priority="594" stopIfTrue="1">
      <formula>AND(OR($A565="COMPOSICAO",$A565="INSUMO",$A565&lt;&gt;""),$A565&lt;&gt;"")</formula>
    </cfRule>
    <cfRule type="expression" dxfId="238" priority="593" stopIfTrue="1">
      <formula>AND($A565&lt;&gt;"COMPOSICAO",$A565&lt;&gt;"INSUMO",$A565&lt;&gt;"")</formula>
    </cfRule>
  </conditionalFormatting>
  <conditionalFormatting sqref="A570">
    <cfRule type="expression" dxfId="237" priority="590" stopIfTrue="1">
      <formula>AND(OR($A570="COMPOSICAO",$A570="INSUMO",$A570&lt;&gt;""),$A570&lt;&gt;"")</formula>
    </cfRule>
    <cfRule type="expression" dxfId="236" priority="589" stopIfTrue="1">
      <formula>AND($A570&lt;&gt;"COMPOSICAO",$A570&lt;&gt;"INSUMO",$A570&lt;&gt;"")</formula>
    </cfRule>
  </conditionalFormatting>
  <conditionalFormatting sqref="A575">
    <cfRule type="expression" dxfId="235" priority="565" stopIfTrue="1">
      <formula>AND($A575&lt;&gt;"COMPOSICAO",$A575&lt;&gt;"INSUMO",$A575&lt;&gt;"")</formula>
    </cfRule>
    <cfRule type="expression" dxfId="234" priority="566" stopIfTrue="1">
      <formula>AND(OR($A575="COMPOSICAO",$A575="INSUMO",$A575&lt;&gt;""),$A575&lt;&gt;"")</formula>
    </cfRule>
  </conditionalFormatting>
  <conditionalFormatting sqref="A580">
    <cfRule type="expression" dxfId="233" priority="562" stopIfTrue="1">
      <formula>AND(OR($A580="COMPOSICAO",$A580="INSUMO",$A580&lt;&gt;""),$A580&lt;&gt;"")</formula>
    </cfRule>
    <cfRule type="expression" dxfId="232" priority="561" stopIfTrue="1">
      <formula>AND($A580&lt;&gt;"COMPOSICAO",$A580&lt;&gt;"INSUMO",$A580&lt;&gt;"")</formula>
    </cfRule>
  </conditionalFormatting>
  <conditionalFormatting sqref="A585">
    <cfRule type="expression" dxfId="231" priority="558" stopIfTrue="1">
      <formula>AND(OR($A585="COMPOSICAO",$A585="INSUMO",$A585&lt;&gt;""),$A585&lt;&gt;"")</formula>
    </cfRule>
    <cfRule type="expression" dxfId="230" priority="557" stopIfTrue="1">
      <formula>AND($A585&lt;&gt;"COMPOSICAO",$A585&lt;&gt;"INSUMO",$A585&lt;&gt;"")</formula>
    </cfRule>
  </conditionalFormatting>
  <conditionalFormatting sqref="A590">
    <cfRule type="expression" dxfId="229" priority="554" stopIfTrue="1">
      <formula>AND(OR($A590="COMPOSICAO",$A590="INSUMO",$A590&lt;&gt;""),$A590&lt;&gt;"")</formula>
    </cfRule>
    <cfRule type="expression" dxfId="228" priority="553" stopIfTrue="1">
      <formula>AND($A590&lt;&gt;"COMPOSICAO",$A590&lt;&gt;"INSUMO",$A590&lt;&gt;"")</formula>
    </cfRule>
  </conditionalFormatting>
  <conditionalFormatting sqref="A595 D595">
    <cfRule type="expression" dxfId="227" priority="547" stopIfTrue="1">
      <formula>AND($A595&lt;&gt;"COMPOSICAO",$A595&lt;&gt;"INSUMO",$A595&lt;&gt;"")</formula>
    </cfRule>
    <cfRule type="expression" dxfId="226" priority="548" stopIfTrue="1">
      <formula>AND(OR($A595="COMPOSICAO",$A595="INSUMO",$A595&lt;&gt;""),$A595&lt;&gt;"")</formula>
    </cfRule>
  </conditionalFormatting>
  <conditionalFormatting sqref="A600 D600">
    <cfRule type="expression" dxfId="225" priority="544" stopIfTrue="1">
      <formula>AND(OR($A600="COMPOSICAO",$A600="INSUMO",$A600&lt;&gt;""),$A600&lt;&gt;"")</formula>
    </cfRule>
    <cfRule type="expression" dxfId="224" priority="543" stopIfTrue="1">
      <formula>AND($A600&lt;&gt;"COMPOSICAO",$A600&lt;&gt;"INSUMO",$A600&lt;&gt;"")</formula>
    </cfRule>
  </conditionalFormatting>
  <conditionalFormatting sqref="A605 D605">
    <cfRule type="expression" dxfId="223" priority="539" stopIfTrue="1">
      <formula>AND($A605&lt;&gt;"COMPOSICAO",$A605&lt;&gt;"INSUMO",$A605&lt;&gt;"")</formula>
    </cfRule>
    <cfRule type="expression" dxfId="222" priority="540" stopIfTrue="1">
      <formula>AND(OR($A605="COMPOSICAO",$A605="INSUMO",$A605&lt;&gt;""),$A605&lt;&gt;"")</formula>
    </cfRule>
  </conditionalFormatting>
  <conditionalFormatting sqref="A635:A636">
    <cfRule type="expression" dxfId="221" priority="508" stopIfTrue="1">
      <formula>AND(OR($A635="COMPOSICAO",$A635="INSUMO",$A635&lt;&gt;""),$A635&lt;&gt;"")</formula>
    </cfRule>
    <cfRule type="expression" dxfId="220" priority="507" stopIfTrue="1">
      <formula>AND($A635&lt;&gt;"COMPOSICAO",$A635&lt;&gt;"INSUMO",$A635&lt;&gt;"")</formula>
    </cfRule>
  </conditionalFormatting>
  <conditionalFormatting sqref="A638:A639">
    <cfRule type="expression" dxfId="219" priority="504" stopIfTrue="1">
      <formula>AND(OR($A638="COMPOSICAO",$A638="INSUMO",$A638&lt;&gt;""),$A638&lt;&gt;"")</formula>
    </cfRule>
    <cfRule type="expression" dxfId="218" priority="503" stopIfTrue="1">
      <formula>AND($A638&lt;&gt;"COMPOSICAO",$A638&lt;&gt;"INSUMO",$A638&lt;&gt;"")</formula>
    </cfRule>
  </conditionalFormatting>
  <conditionalFormatting sqref="A641:A642">
    <cfRule type="expression" dxfId="217" priority="673" stopIfTrue="1">
      <formula>AND($A641&lt;&gt;"COMPOSICAO",$A641&lt;&gt;"INSUMO",$A641&lt;&gt;"")</formula>
    </cfRule>
    <cfRule type="expression" dxfId="216" priority="674" stopIfTrue="1">
      <formula>AND(OR($A641="COMPOSICAO",$A641="INSUMO",$A641&lt;&gt;""),$A641&lt;&gt;"")</formula>
    </cfRule>
  </conditionalFormatting>
  <conditionalFormatting sqref="A644:A645">
    <cfRule type="expression" dxfId="215" priority="498" stopIfTrue="1">
      <formula>AND(OR($A644="COMPOSICAO",$A644="INSUMO",$A644&lt;&gt;""),$A644&lt;&gt;"")</formula>
    </cfRule>
    <cfRule type="expression" dxfId="214" priority="497" stopIfTrue="1">
      <formula>AND($A644&lt;&gt;"COMPOSICAO",$A644&lt;&gt;"INSUMO",$A644&lt;&gt;"")</formula>
    </cfRule>
  </conditionalFormatting>
  <conditionalFormatting sqref="A649:A650">
    <cfRule type="expression" dxfId="213" priority="398" stopIfTrue="1">
      <formula>AND(OR($A649="COMPOSICAO",$A649="INSUMO",$A649&lt;&gt;""),$A649&lt;&gt;"")</formula>
    </cfRule>
    <cfRule type="expression" dxfId="212" priority="397" stopIfTrue="1">
      <formula>AND($A649&lt;&gt;"COMPOSICAO",$A649&lt;&gt;"INSUMO",$A649&lt;&gt;"")</formula>
    </cfRule>
  </conditionalFormatting>
  <conditionalFormatting sqref="A478:D479">
    <cfRule type="expression" dxfId="211" priority="667" stopIfTrue="1">
      <formula>AND($A478&lt;&gt;"COMPOSICAO",$A478&lt;&gt;"INSUMO",$A478&lt;&gt;"")</formula>
    </cfRule>
    <cfRule type="expression" dxfId="210" priority="668" stopIfTrue="1">
      <formula>AND(OR($A478="COMPOSICAO",$A478="INSUMO",$A478&lt;&gt;""),$A478&lt;&gt;"")</formula>
    </cfRule>
  </conditionalFormatting>
  <conditionalFormatting sqref="A596:D596">
    <cfRule type="expression" dxfId="209" priority="550" stopIfTrue="1">
      <formula>AND(OR($A596="COMPOSICAO",$A596="INSUMO",$A596&lt;&gt;""),$A596&lt;&gt;"")</formula>
    </cfRule>
    <cfRule type="expression" dxfId="208" priority="549" stopIfTrue="1">
      <formula>AND($A596&lt;&gt;"COMPOSICAO",$A596&lt;&gt;"INSUMO",$A596&lt;&gt;"")</formula>
    </cfRule>
  </conditionalFormatting>
  <conditionalFormatting sqref="A601:D603">
    <cfRule type="expression" dxfId="207" priority="141" stopIfTrue="1">
      <formula>AND($A601&lt;&gt;"COMPOSICAO",$A601&lt;&gt;"INSUMO",$A601&lt;&gt;"")</formula>
    </cfRule>
    <cfRule type="expression" dxfId="206" priority="142" stopIfTrue="1">
      <formula>AND(OR($A601="COMPOSICAO",$A601="INSUMO",$A601&lt;&gt;""),$A601&lt;&gt;"")</formula>
    </cfRule>
  </conditionalFormatting>
  <conditionalFormatting sqref="A606:D608">
    <cfRule type="expression" dxfId="205" priority="135" stopIfTrue="1">
      <formula>AND($A606&lt;&gt;"COMPOSICAO",$A606&lt;&gt;"INSUMO",$A606&lt;&gt;"")</formula>
    </cfRule>
    <cfRule type="expression" dxfId="204" priority="136" stopIfTrue="1">
      <formula>AND(OR($A606="COMPOSICAO",$A606="INSUMO",$A606&lt;&gt;""),$A606&lt;&gt;"")</formula>
    </cfRule>
  </conditionalFormatting>
  <conditionalFormatting sqref="A3:E8">
    <cfRule type="expression" dxfId="203" priority="737" stopIfTrue="1">
      <formula>AND($A3&lt;&gt;"COMPOSICAO",$A3&lt;&gt;"INSUMO",$A3&lt;&gt;"")</formula>
    </cfRule>
    <cfRule type="expression" dxfId="202" priority="738" stopIfTrue="1">
      <formula>AND(OR($A3="COMPOSICAO",$A3="INSUMO",$A3&lt;&gt;""),$A3&lt;&gt;"")</formula>
    </cfRule>
  </conditionalFormatting>
  <conditionalFormatting sqref="A10:E14">
    <cfRule type="expression" dxfId="201" priority="817" stopIfTrue="1">
      <formula>AND($A10&lt;&gt;"COMPOSICAO",$A10&lt;&gt;"INSUMO",$A10&lt;&gt;"")</formula>
    </cfRule>
    <cfRule type="expression" dxfId="200" priority="818" stopIfTrue="1">
      <formula>AND(OR($A10="COMPOSICAO",$A10="INSUMO",$A10&lt;&gt;""),$A10&lt;&gt;"")</formula>
    </cfRule>
  </conditionalFormatting>
  <conditionalFormatting sqref="A437:E437 A438:F448 A452:F453">
    <cfRule type="expression" dxfId="199" priority="745" stopIfTrue="1">
      <formula>AND($A437&lt;&gt;"COMPOSIÇÃO",$A437&lt;&gt;"INSUMO",$A437&lt;&gt;"")</formula>
    </cfRule>
    <cfRule type="expression" dxfId="198" priority="746" stopIfTrue="1">
      <formula>AND(OR($A437="COMPOSIÇÃO",$A437="INSUMO",$A437&lt;&gt;""),$A437&lt;&gt;"")</formula>
    </cfRule>
  </conditionalFormatting>
  <conditionalFormatting sqref="A481:E483 A484:F485 A487:F491 A505:F505 A511:F511 A517:F517 A523:F523 E595:E596 A610:F610 A615:F615 A647:E647">
    <cfRule type="expression" dxfId="197" priority="464" stopIfTrue="1">
      <formula>AND(OR($A481="COMPOSICAO",$A481="INSUMO",$A481&lt;&gt;""),$A481&lt;&gt;"")</formula>
    </cfRule>
    <cfRule type="expression" dxfId="196" priority="463" stopIfTrue="1">
      <formula>AND($A481&lt;&gt;"COMPOSICAO",$A481&lt;&gt;"INSUMO",$A481&lt;&gt;"")</formula>
    </cfRule>
  </conditionalFormatting>
  <conditionalFormatting sqref="A506:E509">
    <cfRule type="expression" dxfId="195" priority="269" stopIfTrue="1">
      <formula>AND($A506&lt;&gt;"COMPOSICAO",$A506&lt;&gt;"INSUMO",$A506&lt;&gt;"")</formula>
    </cfRule>
    <cfRule type="expression" dxfId="194" priority="270" stopIfTrue="1">
      <formula>AND(OR($A506="COMPOSICAO",$A506="INSUMO",$A506&lt;&gt;""),$A506&lt;&gt;"")</formula>
    </cfRule>
  </conditionalFormatting>
  <conditionalFormatting sqref="A512:E515">
    <cfRule type="expression" dxfId="193" priority="268" stopIfTrue="1">
      <formula>AND(OR($A512="COMPOSICAO",$A512="INSUMO",$A512&lt;&gt;""),$A512&lt;&gt;"")</formula>
    </cfRule>
    <cfRule type="expression" dxfId="192" priority="267" stopIfTrue="1">
      <formula>AND($A512&lt;&gt;"COMPOSICAO",$A512&lt;&gt;"INSUMO",$A512&lt;&gt;"")</formula>
    </cfRule>
  </conditionalFormatting>
  <conditionalFormatting sqref="A518:E521">
    <cfRule type="expression" dxfId="191" priority="266" stopIfTrue="1">
      <formula>AND(OR($A518="COMPOSICAO",$A518="INSUMO",$A518&lt;&gt;""),$A518&lt;&gt;"")</formula>
    </cfRule>
    <cfRule type="expression" dxfId="190" priority="265" stopIfTrue="1">
      <formula>AND($A518&lt;&gt;"COMPOSICAO",$A518&lt;&gt;"INSUMO",$A518&lt;&gt;"")</formula>
    </cfRule>
  </conditionalFormatting>
  <conditionalFormatting sqref="A524:E527">
    <cfRule type="expression" dxfId="189" priority="263" stopIfTrue="1">
      <formula>AND($A524&lt;&gt;"COMPOSICAO",$A524&lt;&gt;"INSUMO",$A524&lt;&gt;"")</formula>
    </cfRule>
    <cfRule type="expression" dxfId="188" priority="264" stopIfTrue="1">
      <formula>AND(OR($A524="COMPOSICAO",$A524="INSUMO",$A524&lt;&gt;""),$A524&lt;&gt;"")</formula>
    </cfRule>
  </conditionalFormatting>
  <conditionalFormatting sqref="A530:E533">
    <cfRule type="expression" dxfId="187" priority="261" stopIfTrue="1">
      <formula>AND($A530&lt;&gt;"COMPOSICAO",$A530&lt;&gt;"INSUMO",$A530&lt;&gt;"")</formula>
    </cfRule>
    <cfRule type="expression" dxfId="186" priority="262" stopIfTrue="1">
      <formula>AND(OR($A530="COMPOSICAO",$A530="INSUMO",$A530&lt;&gt;""),$A530&lt;&gt;"")</formula>
    </cfRule>
  </conditionalFormatting>
  <conditionalFormatting sqref="A536:E539">
    <cfRule type="expression" dxfId="185" priority="259" stopIfTrue="1">
      <formula>AND($A536&lt;&gt;"COMPOSICAO",$A536&lt;&gt;"INSUMO",$A536&lt;&gt;"")</formula>
    </cfRule>
    <cfRule type="expression" dxfId="184" priority="260" stopIfTrue="1">
      <formula>AND(OR($A536="COMPOSICAO",$A536="INSUMO",$A536&lt;&gt;""),$A536&lt;&gt;"")</formula>
    </cfRule>
  </conditionalFormatting>
  <conditionalFormatting sqref="A542:E545">
    <cfRule type="expression" dxfId="183" priority="257" stopIfTrue="1">
      <formula>AND($A542&lt;&gt;"COMPOSICAO",$A542&lt;&gt;"INSUMO",$A542&lt;&gt;"")</formula>
    </cfRule>
    <cfRule type="expression" dxfId="182" priority="258" stopIfTrue="1">
      <formula>AND(OR($A542="COMPOSICAO",$A542="INSUMO",$A542&lt;&gt;""),$A542&lt;&gt;"")</formula>
    </cfRule>
  </conditionalFormatting>
  <conditionalFormatting sqref="A548:E551">
    <cfRule type="expression" dxfId="181" priority="255" stopIfTrue="1">
      <formula>AND($A548&lt;&gt;"COMPOSICAO",$A548&lt;&gt;"INSUMO",$A548&lt;&gt;"")</formula>
    </cfRule>
    <cfRule type="expression" dxfId="180" priority="256" stopIfTrue="1">
      <formula>AND(OR($A548="COMPOSICAO",$A548="INSUMO",$A548&lt;&gt;""),$A548&lt;&gt;"")</formula>
    </cfRule>
  </conditionalFormatting>
  <conditionalFormatting sqref="A554:E557">
    <cfRule type="expression" dxfId="179" priority="253" stopIfTrue="1">
      <formula>AND($A554&lt;&gt;"COMPOSICAO",$A554&lt;&gt;"INSUMO",$A554&lt;&gt;"")</formula>
    </cfRule>
    <cfRule type="expression" dxfId="178" priority="254" stopIfTrue="1">
      <formula>AND(OR($A554="COMPOSICAO",$A554="INSUMO",$A554&lt;&gt;""),$A554&lt;&gt;"")</formula>
    </cfRule>
  </conditionalFormatting>
  <conditionalFormatting sqref="A566:E568">
    <cfRule type="expression" dxfId="177" priority="183" stopIfTrue="1">
      <formula>AND($A566&lt;&gt;"COMPOSICAO",$A566&lt;&gt;"INSUMO",$A566&lt;&gt;"")</formula>
    </cfRule>
    <cfRule type="expression" dxfId="176" priority="184" stopIfTrue="1">
      <formula>AND(OR($A566="COMPOSICAO",$A566="INSUMO",$A566&lt;&gt;""),$A566&lt;&gt;"")</formula>
    </cfRule>
  </conditionalFormatting>
  <conditionalFormatting sqref="A571:E573">
    <cfRule type="expression" dxfId="175" priority="177" stopIfTrue="1">
      <formula>AND($A571&lt;&gt;"COMPOSICAO",$A571&lt;&gt;"INSUMO",$A571&lt;&gt;"")</formula>
    </cfRule>
    <cfRule type="expression" dxfId="174" priority="178" stopIfTrue="1">
      <formula>AND(OR($A571="COMPOSICAO",$A571="INSUMO",$A571&lt;&gt;""),$A571&lt;&gt;"")</formula>
    </cfRule>
  </conditionalFormatting>
  <conditionalFormatting sqref="A576:E578">
    <cfRule type="expression" dxfId="173" priority="171" stopIfTrue="1">
      <formula>AND($A576&lt;&gt;"COMPOSICAO",$A576&lt;&gt;"INSUMO",$A576&lt;&gt;"")</formula>
    </cfRule>
    <cfRule type="expression" dxfId="172" priority="172" stopIfTrue="1">
      <formula>AND(OR($A576="COMPOSICAO",$A576="INSUMO",$A576&lt;&gt;""),$A576&lt;&gt;"")</formula>
    </cfRule>
  </conditionalFormatting>
  <conditionalFormatting sqref="A581:E583">
    <cfRule type="expression" dxfId="171" priority="165" stopIfTrue="1">
      <formula>AND($A581&lt;&gt;"COMPOSICAO",$A581&lt;&gt;"INSUMO",$A581&lt;&gt;"")</formula>
    </cfRule>
    <cfRule type="expression" dxfId="170" priority="166" stopIfTrue="1">
      <formula>AND(OR($A581="COMPOSICAO",$A581="INSUMO",$A581&lt;&gt;""),$A581&lt;&gt;"")</formula>
    </cfRule>
  </conditionalFormatting>
  <conditionalFormatting sqref="A586:E588">
    <cfRule type="expression" dxfId="169" priority="159" stopIfTrue="1">
      <formula>AND($A586&lt;&gt;"COMPOSICAO",$A586&lt;&gt;"INSUMO",$A586&lt;&gt;"")</formula>
    </cfRule>
    <cfRule type="expression" dxfId="168" priority="160" stopIfTrue="1">
      <formula>AND(OR($A586="COMPOSICAO",$A586="INSUMO",$A586&lt;&gt;""),$A586&lt;&gt;"")</formula>
    </cfRule>
  </conditionalFormatting>
  <conditionalFormatting sqref="A591:E593">
    <cfRule type="expression" dxfId="167" priority="154" stopIfTrue="1">
      <formula>AND(OR($A591="COMPOSICAO",$A591="INSUMO",$A591&lt;&gt;""),$A591&lt;&gt;"")</formula>
    </cfRule>
    <cfRule type="expression" dxfId="166" priority="153" stopIfTrue="1">
      <formula>AND($A591&lt;&gt;"COMPOSICAO",$A591&lt;&gt;"INSUMO",$A591&lt;&gt;"")</formula>
    </cfRule>
  </conditionalFormatting>
  <conditionalFormatting sqref="A611:E613">
    <cfRule type="expression" dxfId="165" priority="108" stopIfTrue="1">
      <formula>AND(OR($A611="COMPOSICAO",$A611="INSUMO",$A611&lt;&gt;""),$A611&lt;&gt;"")</formula>
    </cfRule>
    <cfRule type="expression" dxfId="164" priority="107" stopIfTrue="1">
      <formula>AND($A611&lt;&gt;"COMPOSICAO",$A611&lt;&gt;"INSUMO",$A611&lt;&gt;"")</formula>
    </cfRule>
  </conditionalFormatting>
  <conditionalFormatting sqref="A616:E618">
    <cfRule type="expression" dxfId="163" priority="106" stopIfTrue="1">
      <formula>AND(OR($A616="COMPOSICAO",$A616="INSUMO",$A616&lt;&gt;""),$A616&lt;&gt;"")</formula>
    </cfRule>
    <cfRule type="expression" dxfId="162" priority="105" stopIfTrue="1">
      <formula>AND($A616&lt;&gt;"COMPOSICAO",$A616&lt;&gt;"INSUMO",$A616&lt;&gt;"")</formula>
    </cfRule>
  </conditionalFormatting>
  <conditionalFormatting sqref="A621:E623">
    <cfRule type="expression" dxfId="161" priority="104" stopIfTrue="1">
      <formula>AND(OR($A621="COMPOSICAO",$A621="INSUMO",$A621&lt;&gt;""),$A621&lt;&gt;"")</formula>
    </cfRule>
    <cfRule type="expression" dxfId="160" priority="103" stopIfTrue="1">
      <formula>AND($A621&lt;&gt;"COMPOSICAO",$A621&lt;&gt;"INSUMO",$A621&lt;&gt;"")</formula>
    </cfRule>
  </conditionalFormatting>
  <conditionalFormatting sqref="A625:E625 A626:F629">
    <cfRule type="expression" dxfId="159" priority="409" stopIfTrue="1">
      <formula>AND($A625&lt;&gt;"COMPOSICAO",$A625&lt;&gt;"INSUMO",$A625&lt;&gt;"")</formula>
    </cfRule>
    <cfRule type="expression" dxfId="158" priority="410" stopIfTrue="1">
      <formula>AND(OR($A625="COMPOSICAO",$A625="INSUMO",$A625&lt;&gt;""),$A625&lt;&gt;"")</formula>
    </cfRule>
  </conditionalFormatting>
  <conditionalFormatting sqref="A15:F33 A196:E196 A197:F200 A201:E201 A202:F206 A207:E207 A208:F213 A214:E214 A215:F218 A230:F237 A238:E238 A239:F241 A242:B261 C243:C261 A263:F266 A267:E267 A268:F271 A272:E272 A273:F277">
    <cfRule type="expression" dxfId="157" priority="824" stopIfTrue="1">
      <formula>AND(OR($A15="COMPOSICAO",$A15="INSUMO",$A15&lt;&gt;""),$A15&lt;&gt;"")</formula>
    </cfRule>
  </conditionalFormatting>
  <conditionalFormatting sqref="A15:F33 A196:E196 A197:F200 A201:E201 A202:F206 A207:E207 A208:F213 A214:E214 A215:F218 A230:F237 A238:E238 A239:F241 C243:C261 A263:F266 A267:E267 A268:F271 A272:E272 A273:F277 A242:B261">
    <cfRule type="expression" dxfId="156" priority="823" stopIfTrue="1">
      <formula>AND($A15&lt;&gt;"COMPOSICAO",$A15&lt;&gt;"INSUMO",$A15&lt;&gt;"")</formula>
    </cfRule>
  </conditionalFormatting>
  <conditionalFormatting sqref="A34:F193">
    <cfRule type="expression" dxfId="155" priority="331" stopIfTrue="1">
      <formula>AND($A34&lt;&gt;"COMPOSICAO",$A34&lt;&gt;"INSUMO",$A34&lt;&gt;"")</formula>
    </cfRule>
    <cfRule type="expression" dxfId="154" priority="332" stopIfTrue="1">
      <formula>AND(OR($A34="COMPOSICAO",$A34="INSUMO",$A34&lt;&gt;""),$A34&lt;&gt;"")</formula>
    </cfRule>
  </conditionalFormatting>
  <conditionalFormatting sqref="A219:F229">
    <cfRule type="expression" dxfId="153" priority="315" stopIfTrue="1">
      <formula>AND($A219&lt;&gt;"COMPOSICAO",$A219&lt;&gt;"INSUMO",$A219&lt;&gt;"")</formula>
    </cfRule>
    <cfRule type="expression" dxfId="152" priority="316" stopIfTrue="1">
      <formula>AND(OR($A219="COMPOSICAO",$A219="INSUMO",$A219&lt;&gt;""),$A219&lt;&gt;"")</formula>
    </cfRule>
  </conditionalFormatting>
  <conditionalFormatting sqref="A262:F262">
    <cfRule type="expression" dxfId="151" priority="306" stopIfTrue="1">
      <formula>AND(OR($A262="COMPOSICAO",$A262="INSUMO",$A262&lt;&gt;""),$A262&lt;&gt;"")</formula>
    </cfRule>
    <cfRule type="expression" dxfId="150" priority="305" stopIfTrue="1">
      <formula>AND($A262&lt;&gt;"COMPOSICAO",$A262&lt;&gt;"INSUMO",$A262&lt;&gt;"")</formula>
    </cfRule>
  </conditionalFormatting>
  <conditionalFormatting sqref="A279:F302">
    <cfRule type="expression" dxfId="149" priority="1" stopIfTrue="1">
      <formula>AND($A279&lt;&gt;"COMPOSICAO",$A279&lt;&gt;"INSUMO",$A279&lt;&gt;"")</formula>
    </cfRule>
    <cfRule type="expression" dxfId="148" priority="2" stopIfTrue="1">
      <formula>AND(OR($A279="COMPOSICAO",$A279="INSUMO",$A279&lt;&gt;""),$A279&lt;&gt;"")</formula>
    </cfRule>
  </conditionalFormatting>
  <conditionalFormatting sqref="A304:F306">
    <cfRule type="expression" dxfId="147" priority="3" stopIfTrue="1">
      <formula>AND($A304&lt;&gt;"COMPOSIÇÃO",$A304&lt;&gt;"INSUMO",$A304&lt;&gt;"")</formula>
    </cfRule>
    <cfRule type="expression" dxfId="146" priority="4" stopIfTrue="1">
      <formula>AND(OR($A304="COMPOSIÇÃO",$A304="INSUMO",$A304&lt;&gt;""),$A304&lt;&gt;"")</formula>
    </cfRule>
  </conditionalFormatting>
  <conditionalFormatting sqref="A330:F436">
    <cfRule type="expression" dxfId="145" priority="287" stopIfTrue="1">
      <formula>AND($A330&lt;&gt;"COMPOSICAO",$A330&lt;&gt;"INSUMO",$A330&lt;&gt;"")</formula>
    </cfRule>
    <cfRule type="expression" dxfId="144" priority="288" stopIfTrue="1">
      <formula>AND(OR($A330="COMPOSICAO",$A330="INSUMO",$A330&lt;&gt;""),$A330&lt;&gt;"")</formula>
    </cfRule>
  </conditionalFormatting>
  <conditionalFormatting sqref="A454:F475">
    <cfRule type="expression" dxfId="143" priority="819" stopIfTrue="1">
      <formula>AND($A454&lt;&gt;"COMPOSICAO",$A454&lt;&gt;"INSUMO",$A454&lt;&gt;"")</formula>
    </cfRule>
    <cfRule type="expression" dxfId="142" priority="820" stopIfTrue="1">
      <formula>AND(OR($A454="COMPOSICAO",$A454="INSUMO",$A454&lt;&gt;""),$A454&lt;&gt;"")</formula>
    </cfRule>
  </conditionalFormatting>
  <conditionalFormatting sqref="A494:F497">
    <cfRule type="expression" dxfId="141" priority="273" stopIfTrue="1">
      <formula>AND($A494&lt;&gt;"COMPOSICAO",$A494&lt;&gt;"INSUMO",$A494&lt;&gt;"")</formula>
    </cfRule>
    <cfRule type="expression" dxfId="140" priority="274" stopIfTrue="1">
      <formula>AND(OR($A494="COMPOSICAO",$A494="INSUMO",$A494&lt;&gt;""),$A494&lt;&gt;"")</formula>
    </cfRule>
  </conditionalFormatting>
  <conditionalFormatting sqref="A500:F503">
    <cfRule type="expression" dxfId="139" priority="271" stopIfTrue="1">
      <formula>AND($A500&lt;&gt;"COMPOSICAO",$A500&lt;&gt;"INSUMO",$A500&lt;&gt;"")</formula>
    </cfRule>
    <cfRule type="expression" dxfId="138" priority="272" stopIfTrue="1">
      <formula>AND(OR($A500="COMPOSICAO",$A500="INSUMO",$A500&lt;&gt;""),$A500&lt;&gt;"")</formula>
    </cfRule>
  </conditionalFormatting>
  <conditionalFormatting sqref="A560:F563">
    <cfRule type="expression" dxfId="137" priority="185" stopIfTrue="1">
      <formula>AND($A560&lt;&gt;"COMPOSICAO",$A560&lt;&gt;"INSUMO",$A560&lt;&gt;"")</formula>
    </cfRule>
    <cfRule type="expression" dxfId="136" priority="186" stopIfTrue="1">
      <formula>AND(OR($A560="COMPOSICAO",$A560="INSUMO",$A560&lt;&gt;""),$A560&lt;&gt;"")</formula>
    </cfRule>
  </conditionalFormatting>
  <conditionalFormatting sqref="A597:F598">
    <cfRule type="expression" dxfId="135" priority="75" stopIfTrue="1">
      <formula>AND($A597&lt;&gt;"COMPOSICAO",$A597&lt;&gt;"INSUMO",$A597&lt;&gt;"")</formula>
    </cfRule>
    <cfRule type="expression" dxfId="134" priority="76" stopIfTrue="1">
      <formula>AND(OR($A597="COMPOSICAO",$A597="INSUMO",$A597&lt;&gt;""),$A597&lt;&gt;"")</formula>
    </cfRule>
  </conditionalFormatting>
  <conditionalFormatting sqref="A620:F620">
    <cfRule type="expression" dxfId="133" priority="521" stopIfTrue="1">
      <formula>AND($A620&lt;&gt;"COMPOSICAO",$A620&lt;&gt;"INSUMO",$A620&lt;&gt;"")</formula>
    </cfRule>
    <cfRule type="expression" dxfId="132" priority="522" stopIfTrue="1">
      <formula>AND(OR($A620="COMPOSICAO",$A620="INSUMO",$A620&lt;&gt;""),$A620&lt;&gt;"")</formula>
    </cfRule>
  </conditionalFormatting>
  <conditionalFormatting sqref="A631:F633">
    <cfRule type="expression" dxfId="131" priority="408" stopIfTrue="1">
      <formula>AND(OR($A631="COMPOSICAO",$A631="INSUMO",$A631&lt;&gt;""),$A631&lt;&gt;"")</formula>
    </cfRule>
    <cfRule type="expression" dxfId="130" priority="407" stopIfTrue="1">
      <formula>AND($A631&lt;&gt;"COMPOSICAO",$A631&lt;&gt;"INSUMO",$A631&lt;&gt;"")</formula>
    </cfRule>
  </conditionalFormatting>
  <conditionalFormatting sqref="C9 C15:C33 C194:C218 C230:C278 C309:C312 C315:C329">
    <cfRule type="expression" dxfId="129" priority="822" stopIfTrue="1">
      <formula>AND(OR(#REF!="COMPOSICAO",#REF!="INSUMO",#REF!&lt;&gt;""),#REF!&lt;&gt;"")</formula>
    </cfRule>
  </conditionalFormatting>
  <conditionalFormatting sqref="C230:C278 C9 C15:C33 C194:C218 C309:C312 C315:C329">
    <cfRule type="expression" dxfId="128" priority="821" stopIfTrue="1">
      <formula>AND(#REF!&lt;&gt;"COMPOSICAO",#REF!&lt;&gt;"INSUMO",#REF!&lt;&gt;"")</formula>
    </cfRule>
  </conditionalFormatting>
  <conditionalFormatting sqref="C711:C716">
    <cfRule type="expression" dxfId="127" priority="395" stopIfTrue="1">
      <formula>AND(#REF!&lt;&gt;"COMPOSICAO",#REF!&lt;&gt;"INSUMO",#REF!&lt;&gt;"")</formula>
    </cfRule>
    <cfRule type="expression" dxfId="126" priority="396" stopIfTrue="1">
      <formula>AND(OR(#REF!="COMPOSICAO",#REF!="INSUMO",#REF!&lt;&gt;""),#REF!&lt;&gt;"")</formula>
    </cfRule>
  </conditionalFormatting>
  <conditionalFormatting sqref="C242:F242">
    <cfRule type="expression" dxfId="125" priority="313" stopIfTrue="1">
      <formula>AND($A242&lt;&gt;"COMPOSICAO",$A242&lt;&gt;"INSUMO",$A242&lt;&gt;"")</formula>
    </cfRule>
    <cfRule type="expression" dxfId="124" priority="314" stopIfTrue="1">
      <formula>AND(OR($A242="COMPOSICAO",$A242="INSUMO",$A242&lt;&gt;""),$A242&lt;&gt;"")</formula>
    </cfRule>
  </conditionalFormatting>
  <conditionalFormatting sqref="D9">
    <cfRule type="expression" dxfId="123" priority="736" stopIfTrue="1">
      <formula>AND(OR($A9="COMPOSICAO",$A9="INSUMO",$A9&lt;&gt;""),$A9&lt;&gt;"")</formula>
    </cfRule>
    <cfRule type="expression" dxfId="122" priority="735" stopIfTrue="1">
      <formula>AND($A9&lt;&gt;"COMPOSICAO",$A9&lt;&gt;"INSUMO",$A9&lt;&gt;"")</formula>
    </cfRule>
  </conditionalFormatting>
  <conditionalFormatting sqref="D194:D195">
    <cfRule type="expression" dxfId="121" priority="327" stopIfTrue="1">
      <formula>AND($A194&lt;&gt;"COMPOSICAO",$A194&lt;&gt;"INSUMO",$A194&lt;&gt;"")</formula>
    </cfRule>
    <cfRule type="expression" dxfId="120" priority="328" stopIfTrue="1">
      <formula>AND(OR($A194="COMPOSICAO",$A194="INSUMO",$A194&lt;&gt;""),$A194&lt;&gt;"")</formula>
    </cfRule>
  </conditionalFormatting>
  <conditionalFormatting sqref="D529">
    <cfRule type="expression" dxfId="119" priority="640" stopIfTrue="1">
      <formula>AND(OR($A529="COMPOSICAO",$A529="INSUMO",$A529&lt;&gt;""),$A529&lt;&gt;"")</formula>
    </cfRule>
    <cfRule type="expression" dxfId="118" priority="639" stopIfTrue="1">
      <formula>AND($A529&lt;&gt;"COMPOSICAO",$A529&lt;&gt;"INSUMO",$A529&lt;&gt;"")</formula>
    </cfRule>
  </conditionalFormatting>
  <conditionalFormatting sqref="D535">
    <cfRule type="expression" dxfId="117" priority="631" stopIfTrue="1">
      <formula>AND($A535&lt;&gt;"COMPOSICAO",$A535&lt;&gt;"INSUMO",$A535&lt;&gt;"")</formula>
    </cfRule>
    <cfRule type="expression" dxfId="116" priority="632" stopIfTrue="1">
      <formula>AND(OR($A535="COMPOSICAO",$A535="INSUMO",$A535&lt;&gt;""),$A535&lt;&gt;"")</formula>
    </cfRule>
  </conditionalFormatting>
  <conditionalFormatting sqref="D541">
    <cfRule type="expression" dxfId="115" priority="623" stopIfTrue="1">
      <formula>AND($A541&lt;&gt;"COMPOSICAO",$A541&lt;&gt;"INSUMO",$A541&lt;&gt;"")</formula>
    </cfRule>
    <cfRule type="expression" dxfId="114" priority="624" stopIfTrue="1">
      <formula>AND(OR($A541="COMPOSICAO",$A541="INSUMO",$A541&lt;&gt;""),$A541&lt;&gt;"")</formula>
    </cfRule>
  </conditionalFormatting>
  <conditionalFormatting sqref="D547">
    <cfRule type="expression" dxfId="113" priority="612" stopIfTrue="1">
      <formula>AND(OR($A547="COMPOSICAO",$A547="INSUMO",$A547&lt;&gt;""),$A547&lt;&gt;"")</formula>
    </cfRule>
    <cfRule type="expression" dxfId="112" priority="611" stopIfTrue="1">
      <formula>AND($A547&lt;&gt;"COMPOSICAO",$A547&lt;&gt;"INSUMO",$A547&lt;&gt;"")</formula>
    </cfRule>
  </conditionalFormatting>
  <conditionalFormatting sqref="D553">
    <cfRule type="expression" dxfId="111" priority="604" stopIfTrue="1">
      <formula>AND(OR($A553="COMPOSICAO",$A553="INSUMO",$A553&lt;&gt;""),$A553&lt;&gt;"")</formula>
    </cfRule>
    <cfRule type="expression" dxfId="110" priority="603" stopIfTrue="1">
      <formula>AND($A553&lt;&gt;"COMPOSICAO",$A553&lt;&gt;"INSUMO",$A553&lt;&gt;"")</formula>
    </cfRule>
  </conditionalFormatting>
  <conditionalFormatting sqref="D559">
    <cfRule type="expression" dxfId="109" priority="596" stopIfTrue="1">
      <formula>AND(OR($A559="COMPOSICAO",$A559="INSUMO",$A559&lt;&gt;""),$A559&lt;&gt;"")</formula>
    </cfRule>
    <cfRule type="expression" dxfId="108" priority="595" stopIfTrue="1">
      <formula>AND($A559&lt;&gt;"COMPOSICAO",$A559&lt;&gt;"INSUMO",$A559&lt;&gt;"")</formula>
    </cfRule>
  </conditionalFormatting>
  <conditionalFormatting sqref="D565">
    <cfRule type="expression" dxfId="107" priority="592" stopIfTrue="1">
      <formula>AND(OR($A565="COMPOSICAO",$A565="INSUMO",$A565&lt;&gt;""),$A565&lt;&gt;"")</formula>
    </cfRule>
    <cfRule type="expression" dxfId="106" priority="591" stopIfTrue="1">
      <formula>AND($A565&lt;&gt;"COMPOSICAO",$A565&lt;&gt;"INSUMO",$A565&lt;&gt;"")</formula>
    </cfRule>
  </conditionalFormatting>
  <conditionalFormatting sqref="D570">
    <cfRule type="expression" dxfId="105" priority="587" stopIfTrue="1">
      <formula>AND($A570&lt;&gt;"COMPOSICAO",$A570&lt;&gt;"INSUMO",$A570&lt;&gt;"")</formula>
    </cfRule>
    <cfRule type="expression" dxfId="104" priority="588" stopIfTrue="1">
      <formula>AND(OR($A570="COMPOSICAO",$A570="INSUMO",$A570&lt;&gt;""),$A570&lt;&gt;"")</formula>
    </cfRule>
  </conditionalFormatting>
  <conditionalFormatting sqref="D575">
    <cfRule type="expression" dxfId="103" priority="563" stopIfTrue="1">
      <formula>AND($A575&lt;&gt;"COMPOSICAO",$A575&lt;&gt;"INSUMO",$A575&lt;&gt;"")</formula>
    </cfRule>
    <cfRule type="expression" dxfId="102" priority="564" stopIfTrue="1">
      <formula>AND(OR($A575="COMPOSICAO",$A575="INSUMO",$A575&lt;&gt;""),$A575&lt;&gt;"")</formula>
    </cfRule>
  </conditionalFormatting>
  <conditionalFormatting sqref="D580">
    <cfRule type="expression" dxfId="101" priority="559" stopIfTrue="1">
      <formula>AND($A580&lt;&gt;"COMPOSICAO",$A580&lt;&gt;"INSUMO",$A580&lt;&gt;"")</formula>
    </cfRule>
    <cfRule type="expression" dxfId="100" priority="560" stopIfTrue="1">
      <formula>AND(OR($A580="COMPOSICAO",$A580="INSUMO",$A580&lt;&gt;""),$A580&lt;&gt;"")</formula>
    </cfRule>
  </conditionalFormatting>
  <conditionalFormatting sqref="D585">
    <cfRule type="expression" dxfId="99" priority="555" stopIfTrue="1">
      <formula>AND($A585&lt;&gt;"COMPOSICAO",$A585&lt;&gt;"INSUMO",$A585&lt;&gt;"")</formula>
    </cfRule>
    <cfRule type="expression" dxfId="98" priority="556" stopIfTrue="1">
      <formula>AND(OR($A585="COMPOSICAO",$A585="INSUMO",$A585&lt;&gt;""),$A585&lt;&gt;"")</formula>
    </cfRule>
  </conditionalFormatting>
  <conditionalFormatting sqref="D590">
    <cfRule type="expression" dxfId="97" priority="552" stopIfTrue="1">
      <formula>AND(OR($A590="COMPOSICAO",$A590="INSUMO",$A590&lt;&gt;""),$A590&lt;&gt;"")</formula>
    </cfRule>
    <cfRule type="expression" dxfId="96" priority="551" stopIfTrue="1">
      <formula>AND($A590&lt;&gt;"COMPOSICAO",$A590&lt;&gt;"INSUMO",$A590&lt;&gt;"")</formula>
    </cfRule>
  </conditionalFormatting>
  <conditionalFormatting sqref="D243:F261">
    <cfRule type="expression" dxfId="95" priority="307" stopIfTrue="1">
      <formula>AND($A243&lt;&gt;"COMPOSICAO",$A243&lt;&gt;"INSUMO",$A243&lt;&gt;"")</formula>
    </cfRule>
    <cfRule type="expression" dxfId="94" priority="308" stopIfTrue="1">
      <formula>AND(OR($A243="COMPOSICAO",$A243="INSUMO",$A243&lt;&gt;""),$A243&lt;&gt;"")</formula>
    </cfRule>
  </conditionalFormatting>
  <conditionalFormatting sqref="E600:E603">
    <cfRule type="expression" dxfId="93" priority="111" stopIfTrue="1">
      <formula>AND($A600&lt;&gt;"COMPOSICAO",$A600&lt;&gt;"INSUMO",$A600&lt;&gt;"")</formula>
    </cfRule>
    <cfRule type="expression" dxfId="92" priority="112" stopIfTrue="1">
      <formula>AND(OR($A600="COMPOSICAO",$A600="INSUMO",$A600&lt;&gt;""),$A600&lt;&gt;"")</formula>
    </cfRule>
  </conditionalFormatting>
  <conditionalFormatting sqref="E605:E608">
    <cfRule type="expression" dxfId="91" priority="109" stopIfTrue="1">
      <formula>AND($A605&lt;&gt;"COMPOSICAO",$A605&lt;&gt;"INSUMO",$A605&lt;&gt;"")</formula>
    </cfRule>
    <cfRule type="expression" dxfId="90" priority="110" stopIfTrue="1">
      <formula>AND(OR($A605="COMPOSICAO",$A605="INSUMO",$A605&lt;&gt;""),$A605&lt;&gt;"")</formula>
    </cfRule>
  </conditionalFormatting>
  <conditionalFormatting sqref="E303:F303 B307:C307 E309:E313 A449:F451 A477">
    <cfRule type="expression" dxfId="89" priority="665" stopIfTrue="1">
      <formula>AND($A303&lt;&gt;"COMPOSICAO",$A303&lt;&gt;"INSUMO",$A303&lt;&gt;"")</formula>
    </cfRule>
    <cfRule type="expression" dxfId="88" priority="666" stopIfTrue="1">
      <formula>AND(OR($A303="COMPOSICAO",$A303="INSUMO",$A303&lt;&gt;""),$A303&lt;&gt;"")</formula>
    </cfRule>
  </conditionalFormatting>
  <conditionalFormatting sqref="F3:F4">
    <cfRule type="expression" dxfId="87" priority="388" stopIfTrue="1">
      <formula>AND(OR($A3="COMPOSICAO",$A3="INSUMO",$A3&lt;&gt;""),$A3&lt;&gt;"")</formula>
    </cfRule>
    <cfRule type="expression" dxfId="86" priority="387" stopIfTrue="1">
      <formula>AND($A3&lt;&gt;"COMPOSICAO",$A3&lt;&gt;"INSUMO",$A3&lt;&gt;"")</formula>
    </cfRule>
  </conditionalFormatting>
  <conditionalFormatting sqref="F6:F7">
    <cfRule type="expression" dxfId="85" priority="386" stopIfTrue="1">
      <formula>AND(OR($A6="COMPOSICAO",$A6="INSUMO",$A6&lt;&gt;""),$A6&lt;&gt;"")</formula>
    </cfRule>
    <cfRule type="expression" dxfId="84" priority="385" stopIfTrue="1">
      <formula>AND($A6&lt;&gt;"COMPOSICAO",$A6&lt;&gt;"INSUMO",$A6&lt;&gt;"")</formula>
    </cfRule>
  </conditionalFormatting>
  <conditionalFormatting sqref="F9:F12">
    <cfRule type="expression" dxfId="83" priority="384" stopIfTrue="1">
      <formula>AND(OR($A9="COMPOSICAO",$A9="INSUMO",$A9&lt;&gt;""),$A9&lt;&gt;"")</formula>
    </cfRule>
    <cfRule type="expression" dxfId="82" priority="383" stopIfTrue="1">
      <formula>AND($A9&lt;&gt;"COMPOSICAO",$A9&lt;&gt;"INSUMO",$A9&lt;&gt;"")</formula>
    </cfRule>
  </conditionalFormatting>
  <conditionalFormatting sqref="F196">
    <cfRule type="expression" dxfId="81" priority="329" stopIfTrue="1">
      <formula>AND($A196&lt;&gt;"COMPOSICAO",$A196&lt;&gt;"INSUMO",$A196&lt;&gt;"")</formula>
    </cfRule>
    <cfRule type="expression" dxfId="80" priority="330" stopIfTrue="1">
      <formula>AND(OR($A196="COMPOSICAO",$A196="INSUMO",$A196&lt;&gt;""),$A196&lt;&gt;"")</formula>
    </cfRule>
  </conditionalFormatting>
  <conditionalFormatting sqref="F201">
    <cfRule type="expression" dxfId="79" priority="325" stopIfTrue="1">
      <formula>AND($A201&lt;&gt;"COMPOSICAO",$A201&lt;&gt;"INSUMO",$A201&lt;&gt;"")</formula>
    </cfRule>
    <cfRule type="expression" dxfId="78" priority="326" stopIfTrue="1">
      <formula>AND(OR($A201="COMPOSICAO",$A201="INSUMO",$A201&lt;&gt;""),$A201&lt;&gt;"")</formula>
    </cfRule>
  </conditionalFormatting>
  <conditionalFormatting sqref="F207">
    <cfRule type="expression" dxfId="77" priority="321" stopIfTrue="1">
      <formula>AND($A207&lt;&gt;"COMPOSICAO",$A207&lt;&gt;"INSUMO",$A207&lt;&gt;"")</formula>
    </cfRule>
    <cfRule type="expression" dxfId="76" priority="322" stopIfTrue="1">
      <formula>AND(OR($A207="COMPOSICAO",$A207="INSUMO",$A207&lt;&gt;""),$A207&lt;&gt;"")</formula>
    </cfRule>
  </conditionalFormatting>
  <conditionalFormatting sqref="F214">
    <cfRule type="expression" dxfId="75" priority="323" stopIfTrue="1">
      <formula>AND($A214&lt;&gt;"COMPOSICAO",$A214&lt;&gt;"INSUMO",$A214&lt;&gt;"")</formula>
    </cfRule>
    <cfRule type="expression" dxfId="74" priority="324" stopIfTrue="1">
      <formula>AND(OR($A214="COMPOSICAO",$A214="INSUMO",$A214&lt;&gt;""),$A214&lt;&gt;"")</formula>
    </cfRule>
  </conditionalFormatting>
  <conditionalFormatting sqref="F238">
    <cfRule type="expression" dxfId="73" priority="310" stopIfTrue="1">
      <formula>AND(OR($A238="COMPOSICAO",$A238="INSUMO",$A238&lt;&gt;""),$A238&lt;&gt;"")</formula>
    </cfRule>
    <cfRule type="expression" dxfId="72" priority="309" stopIfTrue="1">
      <formula>AND($A238&lt;&gt;"COMPOSICAO",$A238&lt;&gt;"INSUMO",$A238&lt;&gt;"")</formula>
    </cfRule>
  </conditionalFormatting>
  <conditionalFormatting sqref="F267">
    <cfRule type="expression" dxfId="71" priority="303" stopIfTrue="1">
      <formula>AND($A267&lt;&gt;"COMPOSICAO",$A267&lt;&gt;"INSUMO",$A267&lt;&gt;"")</formula>
    </cfRule>
    <cfRule type="expression" dxfId="70" priority="304" stopIfTrue="1">
      <formula>AND(OR($A267="COMPOSICAO",$A267="INSUMO",$A267&lt;&gt;""),$A267&lt;&gt;"")</formula>
    </cfRule>
  </conditionalFormatting>
  <conditionalFormatting sqref="F272">
    <cfRule type="expression" dxfId="69" priority="301" stopIfTrue="1">
      <formula>AND($A272&lt;&gt;"COMPOSICAO",$A272&lt;&gt;"INSUMO",$A272&lt;&gt;"")</formula>
    </cfRule>
    <cfRule type="expression" dxfId="68" priority="302" stopIfTrue="1">
      <formula>AND(OR($A272="COMPOSICAO",$A272="INSUMO",$A272&lt;&gt;""),$A272&lt;&gt;"")</formula>
    </cfRule>
  </conditionalFormatting>
  <conditionalFormatting sqref="F278">
    <cfRule type="expression" dxfId="67" priority="298" stopIfTrue="1">
      <formula>AND(OR($A278="COMPOSICAO",$A278="INSUMO",$A278&lt;&gt;""),$A278&lt;&gt;"")</formula>
    </cfRule>
    <cfRule type="expression" dxfId="66" priority="297" stopIfTrue="1">
      <formula>AND($A278&lt;&gt;"COMPOSICAO",$A278&lt;&gt;"INSUMO",$A278&lt;&gt;"")</formula>
    </cfRule>
  </conditionalFormatting>
  <conditionalFormatting sqref="F307">
    <cfRule type="expression" dxfId="65" priority="293" stopIfTrue="1">
      <formula>AND($A307&lt;&gt;"COMPOSICAO",$A307&lt;&gt;"INSUMO",$A307&lt;&gt;"")</formula>
    </cfRule>
    <cfRule type="expression" dxfId="64" priority="294" stopIfTrue="1">
      <formula>AND(OR($A307="COMPOSICAO",$A307="INSUMO",$A307&lt;&gt;""),$A307&lt;&gt;"")</formula>
    </cfRule>
  </conditionalFormatting>
  <conditionalFormatting sqref="F316">
    <cfRule type="expression" dxfId="63" priority="291" stopIfTrue="1">
      <formula>AND($A316&lt;&gt;"COMPOSICAO",$A316&lt;&gt;"INSUMO",$A316&lt;&gt;"")</formula>
    </cfRule>
    <cfRule type="expression" dxfId="62" priority="292" stopIfTrue="1">
      <formula>AND(OR($A316="COMPOSICAO",$A316="INSUMO",$A316&lt;&gt;""),$A316&lt;&gt;"")</formula>
    </cfRule>
  </conditionalFormatting>
  <conditionalFormatting sqref="F437">
    <cfRule type="expression" dxfId="61" priority="286" stopIfTrue="1">
      <formula>AND(OR($A437="COMPOSICAO",$A437="INSUMO",$A437&lt;&gt;""),$A437&lt;&gt;"")</formula>
    </cfRule>
    <cfRule type="expression" dxfId="60" priority="285" stopIfTrue="1">
      <formula>AND($A437&lt;&gt;"COMPOSICAO",$A437&lt;&gt;"INSUMO",$A437&lt;&gt;"")</formula>
    </cfRule>
  </conditionalFormatting>
  <conditionalFormatting sqref="F476">
    <cfRule type="expression" dxfId="59" priority="284" stopIfTrue="1">
      <formula>AND(OR($A476="COMPOSICAO",$A476="INSUMO",$A476&lt;&gt;""),$A476&lt;&gt;"")</formula>
    </cfRule>
    <cfRule type="expression" dxfId="58" priority="283" stopIfTrue="1">
      <formula>AND($A476&lt;&gt;"COMPOSICAO",$A476&lt;&gt;"INSUMO",$A476&lt;&gt;"")</formula>
    </cfRule>
  </conditionalFormatting>
  <conditionalFormatting sqref="F492">
    <cfRule type="expression" dxfId="57" priority="281" stopIfTrue="1">
      <formula>AND($A492&lt;&gt;"COMPOSICAO",$A492&lt;&gt;"INSUMO",$A492&lt;&gt;"")</formula>
    </cfRule>
    <cfRule type="expression" dxfId="56" priority="282" stopIfTrue="1">
      <formula>AND(OR($A492="COMPOSICAO",$A492="INSUMO",$A492&lt;&gt;""),$A492&lt;&gt;"")</formula>
    </cfRule>
  </conditionalFormatting>
  <conditionalFormatting sqref="F498">
    <cfRule type="expression" dxfId="55" priority="250" stopIfTrue="1">
      <formula>AND(OR($A498="COMPOSICAO",$A498="INSUMO",$A498&lt;&gt;""),$A498&lt;&gt;"")</formula>
    </cfRule>
    <cfRule type="expression" dxfId="54" priority="249" stopIfTrue="1">
      <formula>AND($A498&lt;&gt;"COMPOSICAO",$A498&lt;&gt;"INSUMO",$A498&lt;&gt;"")</formula>
    </cfRule>
  </conditionalFormatting>
  <conditionalFormatting sqref="F504">
    <cfRule type="expression" dxfId="53" priority="247" stopIfTrue="1">
      <formula>AND($A504&lt;&gt;"COMPOSICAO",$A504&lt;&gt;"INSUMO",$A504&lt;&gt;"")</formula>
    </cfRule>
    <cfRule type="expression" dxfId="52" priority="248" stopIfTrue="1">
      <formula>AND(OR($A504="COMPOSICAO",$A504="INSUMO",$A504&lt;&gt;""),$A504&lt;&gt;"")</formula>
    </cfRule>
  </conditionalFormatting>
  <conditionalFormatting sqref="F506:F510">
    <cfRule type="expression" dxfId="51" priority="203" stopIfTrue="1">
      <formula>AND($A506&lt;&gt;"COMPOSICAO",$A506&lt;&gt;"INSUMO",$A506&lt;&gt;"")</formula>
    </cfRule>
    <cfRule type="expression" dxfId="50" priority="204" stopIfTrue="1">
      <formula>AND(OR($A506="COMPOSICAO",$A506="INSUMO",$A506&lt;&gt;""),$A506&lt;&gt;"")</formula>
    </cfRule>
  </conditionalFormatting>
  <conditionalFormatting sqref="F512:F516">
    <cfRule type="expression" dxfId="49" priority="201" stopIfTrue="1">
      <formula>AND($A512&lt;&gt;"COMPOSICAO",$A512&lt;&gt;"INSUMO",$A512&lt;&gt;"")</formula>
    </cfRule>
    <cfRule type="expression" dxfId="48" priority="202" stopIfTrue="1">
      <formula>AND(OR($A512="COMPOSICAO",$A512="INSUMO",$A512&lt;&gt;""),$A512&lt;&gt;"")</formula>
    </cfRule>
  </conditionalFormatting>
  <conditionalFormatting sqref="F518:F522">
    <cfRule type="expression" dxfId="47" priority="199" stopIfTrue="1">
      <formula>AND($A518&lt;&gt;"COMPOSICAO",$A518&lt;&gt;"INSUMO",$A518&lt;&gt;"")</formula>
    </cfRule>
    <cfRule type="expression" dxfId="46" priority="200" stopIfTrue="1">
      <formula>AND(OR($A518="COMPOSICAO",$A518="INSUMO",$A518&lt;&gt;""),$A518&lt;&gt;"")</formula>
    </cfRule>
  </conditionalFormatting>
  <conditionalFormatting sqref="F524:F528">
    <cfRule type="expression" dxfId="45" priority="197" stopIfTrue="1">
      <formula>AND($A524&lt;&gt;"COMPOSICAO",$A524&lt;&gt;"INSUMO",$A524&lt;&gt;"")</formula>
    </cfRule>
    <cfRule type="expression" dxfId="44" priority="198" stopIfTrue="1">
      <formula>AND(OR($A524="COMPOSICAO",$A524="INSUMO",$A524&lt;&gt;""),$A524&lt;&gt;"")</formula>
    </cfRule>
  </conditionalFormatting>
  <conditionalFormatting sqref="F530:F534">
    <cfRule type="expression" dxfId="43" priority="195" stopIfTrue="1">
      <formula>AND($A530&lt;&gt;"COMPOSICAO",$A530&lt;&gt;"INSUMO",$A530&lt;&gt;"")</formula>
    </cfRule>
    <cfRule type="expression" dxfId="42" priority="196" stopIfTrue="1">
      <formula>AND(OR($A530="COMPOSICAO",$A530="INSUMO",$A530&lt;&gt;""),$A530&lt;&gt;"")</formula>
    </cfRule>
  </conditionalFormatting>
  <conditionalFormatting sqref="F536:F540">
    <cfRule type="expression" dxfId="41" priority="194" stopIfTrue="1">
      <formula>AND(OR($A536="COMPOSICAO",$A536="INSUMO",$A536&lt;&gt;""),$A536&lt;&gt;"")</formula>
    </cfRule>
    <cfRule type="expression" dxfId="40" priority="193" stopIfTrue="1">
      <formula>AND($A536&lt;&gt;"COMPOSICAO",$A536&lt;&gt;"INSUMO",$A536&lt;&gt;"")</formula>
    </cfRule>
  </conditionalFormatting>
  <conditionalFormatting sqref="F542:F546">
    <cfRule type="expression" dxfId="39" priority="192" stopIfTrue="1">
      <formula>AND(OR($A542="COMPOSICAO",$A542="INSUMO",$A542&lt;&gt;""),$A542&lt;&gt;"")</formula>
    </cfRule>
    <cfRule type="expression" dxfId="38" priority="191" stopIfTrue="1">
      <formula>AND($A542&lt;&gt;"COMPOSICAO",$A542&lt;&gt;"INSUMO",$A542&lt;&gt;"")</formula>
    </cfRule>
  </conditionalFormatting>
  <conditionalFormatting sqref="F548:F552">
    <cfRule type="expression" dxfId="37" priority="190" stopIfTrue="1">
      <formula>AND(OR($A548="COMPOSICAO",$A548="INSUMO",$A548&lt;&gt;""),$A548&lt;&gt;"")</formula>
    </cfRule>
    <cfRule type="expression" dxfId="36" priority="189" stopIfTrue="1">
      <formula>AND($A548&lt;&gt;"COMPOSICAO",$A548&lt;&gt;"INSUMO",$A548&lt;&gt;"")</formula>
    </cfRule>
  </conditionalFormatting>
  <conditionalFormatting sqref="F554:F558">
    <cfRule type="expression" dxfId="35" priority="188" stopIfTrue="1">
      <formula>AND(OR($A554="COMPOSICAO",$A554="INSUMO",$A554&lt;&gt;""),$A554&lt;&gt;"")</formula>
    </cfRule>
    <cfRule type="expression" dxfId="34" priority="187" stopIfTrue="1">
      <formula>AND($A554&lt;&gt;"COMPOSICAO",$A554&lt;&gt;"INSUMO",$A554&lt;&gt;"")</formula>
    </cfRule>
  </conditionalFormatting>
  <conditionalFormatting sqref="F564">
    <cfRule type="expression" dxfId="33" priority="53" stopIfTrue="1">
      <formula>AND($A564&lt;&gt;"COMPOSICAO",$A564&lt;&gt;"INSUMO",$A564&lt;&gt;"")</formula>
    </cfRule>
    <cfRule type="expression" dxfId="32" priority="54" stopIfTrue="1">
      <formula>AND(OR($A564="COMPOSICAO",$A564="INSUMO",$A564&lt;&gt;""),$A564&lt;&gt;"")</formula>
    </cfRule>
  </conditionalFormatting>
  <conditionalFormatting sqref="F567:F569">
    <cfRule type="expression" dxfId="31" priority="52" stopIfTrue="1">
      <formula>AND(OR($A567="COMPOSICAO",$A567="INSUMO",$A567&lt;&gt;""),$A567&lt;&gt;"")</formula>
    </cfRule>
    <cfRule type="expression" dxfId="30" priority="51" stopIfTrue="1">
      <formula>AND($A567&lt;&gt;"COMPOSICAO",$A567&lt;&gt;"INSUMO",$A567&lt;&gt;"")</formula>
    </cfRule>
  </conditionalFormatting>
  <conditionalFormatting sqref="F572:F574">
    <cfRule type="expression" dxfId="29" priority="50" stopIfTrue="1">
      <formula>AND(OR($A572="COMPOSICAO",$A572="INSUMO",$A572&lt;&gt;""),$A572&lt;&gt;"")</formula>
    </cfRule>
    <cfRule type="expression" dxfId="28" priority="49" stopIfTrue="1">
      <formula>AND($A572&lt;&gt;"COMPOSICAO",$A572&lt;&gt;"INSUMO",$A572&lt;&gt;"")</formula>
    </cfRule>
  </conditionalFormatting>
  <conditionalFormatting sqref="F577:F579">
    <cfRule type="expression" dxfId="27" priority="48" stopIfTrue="1">
      <formula>AND(OR($A577="COMPOSICAO",$A577="INSUMO",$A577&lt;&gt;""),$A577&lt;&gt;"")</formula>
    </cfRule>
    <cfRule type="expression" dxfId="26" priority="47" stopIfTrue="1">
      <formula>AND($A577&lt;&gt;"COMPOSICAO",$A577&lt;&gt;"INSUMO",$A577&lt;&gt;"")</formula>
    </cfRule>
  </conditionalFormatting>
  <conditionalFormatting sqref="F582:F584">
    <cfRule type="expression" dxfId="25" priority="45" stopIfTrue="1">
      <formula>AND($A582&lt;&gt;"COMPOSICAO",$A582&lt;&gt;"INSUMO",$A582&lt;&gt;"")</formula>
    </cfRule>
    <cfRule type="expression" dxfId="24" priority="46" stopIfTrue="1">
      <formula>AND(OR($A582="COMPOSICAO",$A582="INSUMO",$A582&lt;&gt;""),$A582&lt;&gt;"")</formula>
    </cfRule>
  </conditionalFormatting>
  <conditionalFormatting sqref="F587:F589">
    <cfRule type="expression" dxfId="23" priority="41" stopIfTrue="1">
      <formula>AND($A587&lt;&gt;"COMPOSICAO",$A587&lt;&gt;"INSUMO",$A587&lt;&gt;"")</formula>
    </cfRule>
    <cfRule type="expression" dxfId="22" priority="42" stopIfTrue="1">
      <formula>AND(OR($A587="COMPOSICAO",$A587="INSUMO",$A587&lt;&gt;""),$A587&lt;&gt;"")</formula>
    </cfRule>
  </conditionalFormatting>
  <conditionalFormatting sqref="F592:F594">
    <cfRule type="expression" dxfId="21" priority="40" stopIfTrue="1">
      <formula>AND(OR($A592="COMPOSICAO",$A592="INSUMO",$A592&lt;&gt;""),$A592&lt;&gt;"")</formula>
    </cfRule>
    <cfRule type="expression" dxfId="20" priority="39" stopIfTrue="1">
      <formula>AND($A592&lt;&gt;"COMPOSICAO",$A592&lt;&gt;"INSUMO",$A592&lt;&gt;"")</formula>
    </cfRule>
  </conditionalFormatting>
  <conditionalFormatting sqref="F599">
    <cfRule type="expression" dxfId="19" priority="38" stopIfTrue="1">
      <formula>AND(OR($A599="COMPOSICAO",$A599="INSUMO",$A599&lt;&gt;""),$A599&lt;&gt;"")</formula>
    </cfRule>
    <cfRule type="expression" dxfId="18" priority="37" stopIfTrue="1">
      <formula>AND($A599&lt;&gt;"COMPOSICAO",$A599&lt;&gt;"INSUMO",$A599&lt;&gt;"")</formula>
    </cfRule>
  </conditionalFormatting>
  <conditionalFormatting sqref="F602:F604">
    <cfRule type="expression" dxfId="17" priority="36" stopIfTrue="1">
      <formula>AND(OR($A602="COMPOSICAO",$A602="INSUMO",$A602&lt;&gt;""),$A602&lt;&gt;"")</formula>
    </cfRule>
    <cfRule type="expression" dxfId="16" priority="35" stopIfTrue="1">
      <formula>AND($A602&lt;&gt;"COMPOSICAO",$A602&lt;&gt;"INSUMO",$A602&lt;&gt;"")</formula>
    </cfRule>
  </conditionalFormatting>
  <conditionalFormatting sqref="F607:F609">
    <cfRule type="expression" dxfId="15" priority="34" stopIfTrue="1">
      <formula>AND(OR($A607="COMPOSICAO",$A607="INSUMO",$A607&lt;&gt;""),$A607&lt;&gt;"")</formula>
    </cfRule>
    <cfRule type="expression" dxfId="14" priority="33" stopIfTrue="1">
      <formula>AND($A607&lt;&gt;"COMPOSICAO",$A607&lt;&gt;"INSUMO",$A607&lt;&gt;"")</formula>
    </cfRule>
  </conditionalFormatting>
  <conditionalFormatting sqref="F612:F614">
    <cfRule type="expression" dxfId="13" priority="31" stopIfTrue="1">
      <formula>AND($A612&lt;&gt;"COMPOSICAO",$A612&lt;&gt;"INSUMO",$A612&lt;&gt;"")</formula>
    </cfRule>
    <cfRule type="expression" dxfId="12" priority="32" stopIfTrue="1">
      <formula>AND(OR($A612="COMPOSICAO",$A612="INSUMO",$A612&lt;&gt;""),$A612&lt;&gt;"")</formula>
    </cfRule>
  </conditionalFormatting>
  <conditionalFormatting sqref="F617:F619">
    <cfRule type="expression" dxfId="11" priority="30" stopIfTrue="1">
      <formula>AND(OR($A617="COMPOSICAO",$A617="INSUMO",$A617&lt;&gt;""),$A617&lt;&gt;"")</formula>
    </cfRule>
    <cfRule type="expression" dxfId="10" priority="29" stopIfTrue="1">
      <formula>AND($A617&lt;&gt;"COMPOSICAO",$A617&lt;&gt;"INSUMO",$A617&lt;&gt;"")</formula>
    </cfRule>
  </conditionalFormatting>
  <conditionalFormatting sqref="F622:F623">
    <cfRule type="expression" dxfId="9" priority="55" stopIfTrue="1">
      <formula>AND($A622&lt;&gt;"COMPOSICAO",$A622&lt;&gt;"INSUMO",$A622&lt;&gt;"")</formula>
    </cfRule>
    <cfRule type="expression" dxfId="8" priority="56" stopIfTrue="1">
      <formula>AND(OR($A622="COMPOSICAO",$A622="INSUMO",$A622&lt;&gt;""),$A622&lt;&gt;"")</formula>
    </cfRule>
  </conditionalFormatting>
  <conditionalFormatting sqref="F630">
    <cfRule type="expression" dxfId="7" priority="27" stopIfTrue="1">
      <formula>AND($A630&lt;&gt;"COMPOSICAO",$A630&lt;&gt;"INSUMO",$A630&lt;&gt;"")</formula>
    </cfRule>
    <cfRule type="expression" dxfId="6" priority="28" stopIfTrue="1">
      <formula>AND(OR($A630="COMPOSICAO",$A630="INSUMO",$A630&lt;&gt;""),$A630&lt;&gt;"")</formula>
    </cfRule>
  </conditionalFormatting>
  <conditionalFormatting sqref="F634:F645">
    <cfRule type="expression" dxfId="5" priority="14" stopIfTrue="1">
      <formula>AND(OR($A634="COMPOSICAO",$A634="INSUMO",$A634&lt;&gt;""),$A634&lt;&gt;"")</formula>
    </cfRule>
    <cfRule type="expression" dxfId="4" priority="13" stopIfTrue="1">
      <formula>AND($A634&lt;&gt;"COMPOSICAO",$A634&lt;&gt;"INSUMO",$A634&lt;&gt;"")</formula>
    </cfRule>
  </conditionalFormatting>
  <conditionalFormatting sqref="F648:F650">
    <cfRule type="expression" dxfId="3" priority="12" stopIfTrue="1">
      <formula>AND(OR($A648="COMPOSICAO",$A648="INSUMO",$A648&lt;&gt;""),$A648&lt;&gt;"")</formula>
    </cfRule>
    <cfRule type="expression" dxfId="2" priority="11" stopIfTrue="1">
      <formula>AND($A648&lt;&gt;"COMPOSICAO",$A648&lt;&gt;"INSUMO",$A648&lt;&gt;"")</formula>
    </cfRule>
  </conditionalFormatting>
  <conditionalFormatting sqref="H309">
    <cfRule type="expression" dxfId="1" priority="687" stopIfTrue="1">
      <formula>AND(#REF!&lt;&gt;"COMPOSICAO",#REF!&lt;&gt;"INSUMO",#REF!&lt;&gt;"")</formula>
    </cfRule>
    <cfRule type="expression" dxfId="0" priority="688" stopIfTrue="1">
      <formula>AND(OR(#REF!="COMPOSICAO",#REF!="INSUMO",#REF!&lt;&gt;""),#REF!&lt;&gt;"")</formula>
    </cfRule>
  </conditionalFormatting>
  <pageMargins left="0.511811024" right="0.511811024" top="0.78740157499999996" bottom="0.78740157499999996" header="0.31496062000000002" footer="0.31496062000000002"/>
  <pageSetup paperSize="9" scale="18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C72AA-A4AD-4334-B038-7E25AA56643D}">
  <sheetPr>
    <pageSetUpPr fitToPage="1"/>
  </sheetPr>
  <dimension ref="A1:N251"/>
  <sheetViews>
    <sheetView workbookViewId="0">
      <selection sqref="A1:B1"/>
    </sheetView>
  </sheetViews>
  <sheetFormatPr defaultRowHeight="12.75"/>
  <cols>
    <col min="1" max="1" width="7.85546875" style="67" customWidth="1"/>
    <col min="2" max="2" width="87" style="67" customWidth="1"/>
    <col min="3" max="3" width="8.7109375" style="68" customWidth="1"/>
    <col min="4" max="4" width="10.28515625" style="503" customWidth="1"/>
    <col min="5" max="5" width="16.5703125" style="69" customWidth="1"/>
    <col min="6" max="6" width="16.28515625" style="69" customWidth="1"/>
    <col min="7" max="7" width="15.5703125" style="43" customWidth="1"/>
    <col min="8" max="8" width="9.140625" style="45"/>
    <col min="9" max="9" width="11.85546875" style="45" hidden="1" customWidth="1"/>
    <col min="10" max="11" width="0" style="45" hidden="1" customWidth="1"/>
    <col min="12" max="12" width="11.85546875" style="45" hidden="1" customWidth="1"/>
    <col min="13" max="15" width="0" style="45" hidden="1" customWidth="1"/>
    <col min="16" max="254" width="9.140625" style="45"/>
    <col min="255" max="255" width="7.85546875" style="45" customWidth="1"/>
    <col min="256" max="256" width="69.42578125" style="45" customWidth="1"/>
    <col min="257" max="257" width="10.28515625" style="45" customWidth="1"/>
    <col min="258" max="258" width="11.140625" style="45" customWidth="1"/>
    <col min="259" max="259" width="11.28515625" style="45" customWidth="1"/>
    <col min="260" max="260" width="12.7109375" style="45" customWidth="1"/>
    <col min="261" max="261" width="17.5703125" style="45" customWidth="1"/>
    <col min="262" max="262" width="18.5703125" style="45" customWidth="1"/>
    <col min="263" max="263" width="21.5703125" style="45" customWidth="1"/>
    <col min="264" max="264" width="9.140625" style="45"/>
    <col min="265" max="271" width="0" style="45" hidden="1" customWidth="1"/>
    <col min="272" max="510" width="9.140625" style="45"/>
    <col min="511" max="511" width="7.85546875" style="45" customWidth="1"/>
    <col min="512" max="512" width="69.42578125" style="45" customWidth="1"/>
    <col min="513" max="513" width="10.28515625" style="45" customWidth="1"/>
    <col min="514" max="514" width="11.140625" style="45" customWidth="1"/>
    <col min="515" max="515" width="11.28515625" style="45" customWidth="1"/>
    <col min="516" max="516" width="12.7109375" style="45" customWidth="1"/>
    <col min="517" max="517" width="17.5703125" style="45" customWidth="1"/>
    <col min="518" max="518" width="18.5703125" style="45" customWidth="1"/>
    <col min="519" max="519" width="21.5703125" style="45" customWidth="1"/>
    <col min="520" max="520" width="9.140625" style="45"/>
    <col min="521" max="527" width="0" style="45" hidden="1" customWidth="1"/>
    <col min="528" max="766" width="9.140625" style="45"/>
    <col min="767" max="767" width="7.85546875" style="45" customWidth="1"/>
    <col min="768" max="768" width="69.42578125" style="45" customWidth="1"/>
    <col min="769" max="769" width="10.28515625" style="45" customWidth="1"/>
    <col min="770" max="770" width="11.140625" style="45" customWidth="1"/>
    <col min="771" max="771" width="11.28515625" style="45" customWidth="1"/>
    <col min="772" max="772" width="12.7109375" style="45" customWidth="1"/>
    <col min="773" max="773" width="17.5703125" style="45" customWidth="1"/>
    <col min="774" max="774" width="18.5703125" style="45" customWidth="1"/>
    <col min="775" max="775" width="21.5703125" style="45" customWidth="1"/>
    <col min="776" max="776" width="9.140625" style="45"/>
    <col min="777" max="783" width="0" style="45" hidden="1" customWidth="1"/>
    <col min="784" max="1022" width="9.140625" style="45"/>
    <col min="1023" max="1023" width="7.85546875" style="45" customWidth="1"/>
    <col min="1024" max="1024" width="69.42578125" style="45" customWidth="1"/>
    <col min="1025" max="1025" width="10.28515625" style="45" customWidth="1"/>
    <col min="1026" max="1026" width="11.140625" style="45" customWidth="1"/>
    <col min="1027" max="1027" width="11.28515625" style="45" customWidth="1"/>
    <col min="1028" max="1028" width="12.7109375" style="45" customWidth="1"/>
    <col min="1029" max="1029" width="17.5703125" style="45" customWidth="1"/>
    <col min="1030" max="1030" width="18.5703125" style="45" customWidth="1"/>
    <col min="1031" max="1031" width="21.5703125" style="45" customWidth="1"/>
    <col min="1032" max="1032" width="9.140625" style="45"/>
    <col min="1033" max="1039" width="0" style="45" hidden="1" customWidth="1"/>
    <col min="1040" max="1278" width="9.140625" style="45"/>
    <col min="1279" max="1279" width="7.85546875" style="45" customWidth="1"/>
    <col min="1280" max="1280" width="69.42578125" style="45" customWidth="1"/>
    <col min="1281" max="1281" width="10.28515625" style="45" customWidth="1"/>
    <col min="1282" max="1282" width="11.140625" style="45" customWidth="1"/>
    <col min="1283" max="1283" width="11.28515625" style="45" customWidth="1"/>
    <col min="1284" max="1284" width="12.7109375" style="45" customWidth="1"/>
    <col min="1285" max="1285" width="17.5703125" style="45" customWidth="1"/>
    <col min="1286" max="1286" width="18.5703125" style="45" customWidth="1"/>
    <col min="1287" max="1287" width="21.5703125" style="45" customWidth="1"/>
    <col min="1288" max="1288" width="9.140625" style="45"/>
    <col min="1289" max="1295" width="0" style="45" hidden="1" customWidth="1"/>
    <col min="1296" max="1534" width="9.140625" style="45"/>
    <col min="1535" max="1535" width="7.85546875" style="45" customWidth="1"/>
    <col min="1536" max="1536" width="69.42578125" style="45" customWidth="1"/>
    <col min="1537" max="1537" width="10.28515625" style="45" customWidth="1"/>
    <col min="1538" max="1538" width="11.140625" style="45" customWidth="1"/>
    <col min="1539" max="1539" width="11.28515625" style="45" customWidth="1"/>
    <col min="1540" max="1540" width="12.7109375" style="45" customWidth="1"/>
    <col min="1541" max="1541" width="17.5703125" style="45" customWidth="1"/>
    <col min="1542" max="1542" width="18.5703125" style="45" customWidth="1"/>
    <col min="1543" max="1543" width="21.5703125" style="45" customWidth="1"/>
    <col min="1544" max="1544" width="9.140625" style="45"/>
    <col min="1545" max="1551" width="0" style="45" hidden="1" customWidth="1"/>
    <col min="1552" max="1790" width="9.140625" style="45"/>
    <col min="1791" max="1791" width="7.85546875" style="45" customWidth="1"/>
    <col min="1792" max="1792" width="69.42578125" style="45" customWidth="1"/>
    <col min="1793" max="1793" width="10.28515625" style="45" customWidth="1"/>
    <col min="1794" max="1794" width="11.140625" style="45" customWidth="1"/>
    <col min="1795" max="1795" width="11.28515625" style="45" customWidth="1"/>
    <col min="1796" max="1796" width="12.7109375" style="45" customWidth="1"/>
    <col min="1797" max="1797" width="17.5703125" style="45" customWidth="1"/>
    <col min="1798" max="1798" width="18.5703125" style="45" customWidth="1"/>
    <col min="1799" max="1799" width="21.5703125" style="45" customWidth="1"/>
    <col min="1800" max="1800" width="9.140625" style="45"/>
    <col min="1801" max="1807" width="0" style="45" hidden="1" customWidth="1"/>
    <col min="1808" max="2046" width="9.140625" style="45"/>
    <col min="2047" max="2047" width="7.85546875" style="45" customWidth="1"/>
    <col min="2048" max="2048" width="69.42578125" style="45" customWidth="1"/>
    <col min="2049" max="2049" width="10.28515625" style="45" customWidth="1"/>
    <col min="2050" max="2050" width="11.140625" style="45" customWidth="1"/>
    <col min="2051" max="2051" width="11.28515625" style="45" customWidth="1"/>
    <col min="2052" max="2052" width="12.7109375" style="45" customWidth="1"/>
    <col min="2053" max="2053" width="17.5703125" style="45" customWidth="1"/>
    <col min="2054" max="2054" width="18.5703125" style="45" customWidth="1"/>
    <col min="2055" max="2055" width="21.5703125" style="45" customWidth="1"/>
    <col min="2056" max="2056" width="9.140625" style="45"/>
    <col min="2057" max="2063" width="0" style="45" hidden="1" customWidth="1"/>
    <col min="2064" max="2302" width="9.140625" style="45"/>
    <col min="2303" max="2303" width="7.85546875" style="45" customWidth="1"/>
    <col min="2304" max="2304" width="69.42578125" style="45" customWidth="1"/>
    <col min="2305" max="2305" width="10.28515625" style="45" customWidth="1"/>
    <col min="2306" max="2306" width="11.140625" style="45" customWidth="1"/>
    <col min="2307" max="2307" width="11.28515625" style="45" customWidth="1"/>
    <col min="2308" max="2308" width="12.7109375" style="45" customWidth="1"/>
    <col min="2309" max="2309" width="17.5703125" style="45" customWidth="1"/>
    <col min="2310" max="2310" width="18.5703125" style="45" customWidth="1"/>
    <col min="2311" max="2311" width="21.5703125" style="45" customWidth="1"/>
    <col min="2312" max="2312" width="9.140625" style="45"/>
    <col min="2313" max="2319" width="0" style="45" hidden="1" customWidth="1"/>
    <col min="2320" max="2558" width="9.140625" style="45"/>
    <col min="2559" max="2559" width="7.85546875" style="45" customWidth="1"/>
    <col min="2560" max="2560" width="69.42578125" style="45" customWidth="1"/>
    <col min="2561" max="2561" width="10.28515625" style="45" customWidth="1"/>
    <col min="2562" max="2562" width="11.140625" style="45" customWidth="1"/>
    <col min="2563" max="2563" width="11.28515625" style="45" customWidth="1"/>
    <col min="2564" max="2564" width="12.7109375" style="45" customWidth="1"/>
    <col min="2565" max="2565" width="17.5703125" style="45" customWidth="1"/>
    <col min="2566" max="2566" width="18.5703125" style="45" customWidth="1"/>
    <col min="2567" max="2567" width="21.5703125" style="45" customWidth="1"/>
    <col min="2568" max="2568" width="9.140625" style="45"/>
    <col min="2569" max="2575" width="0" style="45" hidden="1" customWidth="1"/>
    <col min="2576" max="2814" width="9.140625" style="45"/>
    <col min="2815" max="2815" width="7.85546875" style="45" customWidth="1"/>
    <col min="2816" max="2816" width="69.42578125" style="45" customWidth="1"/>
    <col min="2817" max="2817" width="10.28515625" style="45" customWidth="1"/>
    <col min="2818" max="2818" width="11.140625" style="45" customWidth="1"/>
    <col min="2819" max="2819" width="11.28515625" style="45" customWidth="1"/>
    <col min="2820" max="2820" width="12.7109375" style="45" customWidth="1"/>
    <col min="2821" max="2821" width="17.5703125" style="45" customWidth="1"/>
    <col min="2822" max="2822" width="18.5703125" style="45" customWidth="1"/>
    <col min="2823" max="2823" width="21.5703125" style="45" customWidth="1"/>
    <col min="2824" max="2824" width="9.140625" style="45"/>
    <col min="2825" max="2831" width="0" style="45" hidden="1" customWidth="1"/>
    <col min="2832" max="3070" width="9.140625" style="45"/>
    <col min="3071" max="3071" width="7.85546875" style="45" customWidth="1"/>
    <col min="3072" max="3072" width="69.42578125" style="45" customWidth="1"/>
    <col min="3073" max="3073" width="10.28515625" style="45" customWidth="1"/>
    <col min="3074" max="3074" width="11.140625" style="45" customWidth="1"/>
    <col min="3075" max="3075" width="11.28515625" style="45" customWidth="1"/>
    <col min="3076" max="3076" width="12.7109375" style="45" customWidth="1"/>
    <col min="3077" max="3077" width="17.5703125" style="45" customWidth="1"/>
    <col min="3078" max="3078" width="18.5703125" style="45" customWidth="1"/>
    <col min="3079" max="3079" width="21.5703125" style="45" customWidth="1"/>
    <col min="3080" max="3080" width="9.140625" style="45"/>
    <col min="3081" max="3087" width="0" style="45" hidden="1" customWidth="1"/>
    <col min="3088" max="3326" width="9.140625" style="45"/>
    <col min="3327" max="3327" width="7.85546875" style="45" customWidth="1"/>
    <col min="3328" max="3328" width="69.42578125" style="45" customWidth="1"/>
    <col min="3329" max="3329" width="10.28515625" style="45" customWidth="1"/>
    <col min="3330" max="3330" width="11.140625" style="45" customWidth="1"/>
    <col min="3331" max="3331" width="11.28515625" style="45" customWidth="1"/>
    <col min="3332" max="3332" width="12.7109375" style="45" customWidth="1"/>
    <col min="3333" max="3333" width="17.5703125" style="45" customWidth="1"/>
    <col min="3334" max="3334" width="18.5703125" style="45" customWidth="1"/>
    <col min="3335" max="3335" width="21.5703125" style="45" customWidth="1"/>
    <col min="3336" max="3336" width="9.140625" style="45"/>
    <col min="3337" max="3343" width="0" style="45" hidden="1" customWidth="1"/>
    <col min="3344" max="3582" width="9.140625" style="45"/>
    <col min="3583" max="3583" width="7.85546875" style="45" customWidth="1"/>
    <col min="3584" max="3584" width="69.42578125" style="45" customWidth="1"/>
    <col min="3585" max="3585" width="10.28515625" style="45" customWidth="1"/>
    <col min="3586" max="3586" width="11.140625" style="45" customWidth="1"/>
    <col min="3587" max="3587" width="11.28515625" style="45" customWidth="1"/>
    <col min="3588" max="3588" width="12.7109375" style="45" customWidth="1"/>
    <col min="3589" max="3589" width="17.5703125" style="45" customWidth="1"/>
    <col min="3590" max="3590" width="18.5703125" style="45" customWidth="1"/>
    <col min="3591" max="3591" width="21.5703125" style="45" customWidth="1"/>
    <col min="3592" max="3592" width="9.140625" style="45"/>
    <col min="3593" max="3599" width="0" style="45" hidden="1" customWidth="1"/>
    <col min="3600" max="3838" width="9.140625" style="45"/>
    <col min="3839" max="3839" width="7.85546875" style="45" customWidth="1"/>
    <col min="3840" max="3840" width="69.42578125" style="45" customWidth="1"/>
    <col min="3841" max="3841" width="10.28515625" style="45" customWidth="1"/>
    <col min="3842" max="3842" width="11.140625" style="45" customWidth="1"/>
    <col min="3843" max="3843" width="11.28515625" style="45" customWidth="1"/>
    <col min="3844" max="3844" width="12.7109375" style="45" customWidth="1"/>
    <col min="3845" max="3845" width="17.5703125" style="45" customWidth="1"/>
    <col min="3846" max="3846" width="18.5703125" style="45" customWidth="1"/>
    <col min="3847" max="3847" width="21.5703125" style="45" customWidth="1"/>
    <col min="3848" max="3848" width="9.140625" style="45"/>
    <col min="3849" max="3855" width="0" style="45" hidden="1" customWidth="1"/>
    <col min="3856" max="4094" width="9.140625" style="45"/>
    <col min="4095" max="4095" width="7.85546875" style="45" customWidth="1"/>
    <col min="4096" max="4096" width="69.42578125" style="45" customWidth="1"/>
    <col min="4097" max="4097" width="10.28515625" style="45" customWidth="1"/>
    <col min="4098" max="4098" width="11.140625" style="45" customWidth="1"/>
    <col min="4099" max="4099" width="11.28515625" style="45" customWidth="1"/>
    <col min="4100" max="4100" width="12.7109375" style="45" customWidth="1"/>
    <col min="4101" max="4101" width="17.5703125" style="45" customWidth="1"/>
    <col min="4102" max="4102" width="18.5703125" style="45" customWidth="1"/>
    <col min="4103" max="4103" width="21.5703125" style="45" customWidth="1"/>
    <col min="4104" max="4104" width="9.140625" style="45"/>
    <col min="4105" max="4111" width="0" style="45" hidden="1" customWidth="1"/>
    <col min="4112" max="4350" width="9.140625" style="45"/>
    <col min="4351" max="4351" width="7.85546875" style="45" customWidth="1"/>
    <col min="4352" max="4352" width="69.42578125" style="45" customWidth="1"/>
    <col min="4353" max="4353" width="10.28515625" style="45" customWidth="1"/>
    <col min="4354" max="4354" width="11.140625" style="45" customWidth="1"/>
    <col min="4355" max="4355" width="11.28515625" style="45" customWidth="1"/>
    <col min="4356" max="4356" width="12.7109375" style="45" customWidth="1"/>
    <col min="4357" max="4357" width="17.5703125" style="45" customWidth="1"/>
    <col min="4358" max="4358" width="18.5703125" style="45" customWidth="1"/>
    <col min="4359" max="4359" width="21.5703125" style="45" customWidth="1"/>
    <col min="4360" max="4360" width="9.140625" style="45"/>
    <col min="4361" max="4367" width="0" style="45" hidden="1" customWidth="1"/>
    <col min="4368" max="4606" width="9.140625" style="45"/>
    <col min="4607" max="4607" width="7.85546875" style="45" customWidth="1"/>
    <col min="4608" max="4608" width="69.42578125" style="45" customWidth="1"/>
    <col min="4609" max="4609" width="10.28515625" style="45" customWidth="1"/>
    <col min="4610" max="4610" width="11.140625" style="45" customWidth="1"/>
    <col min="4611" max="4611" width="11.28515625" style="45" customWidth="1"/>
    <col min="4612" max="4612" width="12.7109375" style="45" customWidth="1"/>
    <col min="4613" max="4613" width="17.5703125" style="45" customWidth="1"/>
    <col min="4614" max="4614" width="18.5703125" style="45" customWidth="1"/>
    <col min="4615" max="4615" width="21.5703125" style="45" customWidth="1"/>
    <col min="4616" max="4616" width="9.140625" style="45"/>
    <col min="4617" max="4623" width="0" style="45" hidden="1" customWidth="1"/>
    <col min="4624" max="4862" width="9.140625" style="45"/>
    <col min="4863" max="4863" width="7.85546875" style="45" customWidth="1"/>
    <col min="4864" max="4864" width="69.42578125" style="45" customWidth="1"/>
    <col min="4865" max="4865" width="10.28515625" style="45" customWidth="1"/>
    <col min="4866" max="4866" width="11.140625" style="45" customWidth="1"/>
    <col min="4867" max="4867" width="11.28515625" style="45" customWidth="1"/>
    <col min="4868" max="4868" width="12.7109375" style="45" customWidth="1"/>
    <col min="4869" max="4869" width="17.5703125" style="45" customWidth="1"/>
    <col min="4870" max="4870" width="18.5703125" style="45" customWidth="1"/>
    <col min="4871" max="4871" width="21.5703125" style="45" customWidth="1"/>
    <col min="4872" max="4872" width="9.140625" style="45"/>
    <col min="4873" max="4879" width="0" style="45" hidden="1" customWidth="1"/>
    <col min="4880" max="5118" width="9.140625" style="45"/>
    <col min="5119" max="5119" width="7.85546875" style="45" customWidth="1"/>
    <col min="5120" max="5120" width="69.42578125" style="45" customWidth="1"/>
    <col min="5121" max="5121" width="10.28515625" style="45" customWidth="1"/>
    <col min="5122" max="5122" width="11.140625" style="45" customWidth="1"/>
    <col min="5123" max="5123" width="11.28515625" style="45" customWidth="1"/>
    <col min="5124" max="5124" width="12.7109375" style="45" customWidth="1"/>
    <col min="5125" max="5125" width="17.5703125" style="45" customWidth="1"/>
    <col min="5126" max="5126" width="18.5703125" style="45" customWidth="1"/>
    <col min="5127" max="5127" width="21.5703125" style="45" customWidth="1"/>
    <col min="5128" max="5128" width="9.140625" style="45"/>
    <col min="5129" max="5135" width="0" style="45" hidden="1" customWidth="1"/>
    <col min="5136" max="5374" width="9.140625" style="45"/>
    <col min="5375" max="5375" width="7.85546875" style="45" customWidth="1"/>
    <col min="5376" max="5376" width="69.42578125" style="45" customWidth="1"/>
    <col min="5377" max="5377" width="10.28515625" style="45" customWidth="1"/>
    <col min="5378" max="5378" width="11.140625" style="45" customWidth="1"/>
    <col min="5379" max="5379" width="11.28515625" style="45" customWidth="1"/>
    <col min="5380" max="5380" width="12.7109375" style="45" customWidth="1"/>
    <col min="5381" max="5381" width="17.5703125" style="45" customWidth="1"/>
    <col min="5382" max="5382" width="18.5703125" style="45" customWidth="1"/>
    <col min="5383" max="5383" width="21.5703125" style="45" customWidth="1"/>
    <col min="5384" max="5384" width="9.140625" style="45"/>
    <col min="5385" max="5391" width="0" style="45" hidden="1" customWidth="1"/>
    <col min="5392" max="5630" width="9.140625" style="45"/>
    <col min="5631" max="5631" width="7.85546875" style="45" customWidth="1"/>
    <col min="5632" max="5632" width="69.42578125" style="45" customWidth="1"/>
    <col min="5633" max="5633" width="10.28515625" style="45" customWidth="1"/>
    <col min="5634" max="5634" width="11.140625" style="45" customWidth="1"/>
    <col min="5635" max="5635" width="11.28515625" style="45" customWidth="1"/>
    <col min="5636" max="5636" width="12.7109375" style="45" customWidth="1"/>
    <col min="5637" max="5637" width="17.5703125" style="45" customWidth="1"/>
    <col min="5638" max="5638" width="18.5703125" style="45" customWidth="1"/>
    <col min="5639" max="5639" width="21.5703125" style="45" customWidth="1"/>
    <col min="5640" max="5640" width="9.140625" style="45"/>
    <col min="5641" max="5647" width="0" style="45" hidden="1" customWidth="1"/>
    <col min="5648" max="5886" width="9.140625" style="45"/>
    <col min="5887" max="5887" width="7.85546875" style="45" customWidth="1"/>
    <col min="5888" max="5888" width="69.42578125" style="45" customWidth="1"/>
    <col min="5889" max="5889" width="10.28515625" style="45" customWidth="1"/>
    <col min="5890" max="5890" width="11.140625" style="45" customWidth="1"/>
    <col min="5891" max="5891" width="11.28515625" style="45" customWidth="1"/>
    <col min="5892" max="5892" width="12.7109375" style="45" customWidth="1"/>
    <col min="5893" max="5893" width="17.5703125" style="45" customWidth="1"/>
    <col min="5894" max="5894" width="18.5703125" style="45" customWidth="1"/>
    <col min="5895" max="5895" width="21.5703125" style="45" customWidth="1"/>
    <col min="5896" max="5896" width="9.140625" style="45"/>
    <col min="5897" max="5903" width="0" style="45" hidden="1" customWidth="1"/>
    <col min="5904" max="6142" width="9.140625" style="45"/>
    <col min="6143" max="6143" width="7.85546875" style="45" customWidth="1"/>
    <col min="6144" max="6144" width="69.42578125" style="45" customWidth="1"/>
    <col min="6145" max="6145" width="10.28515625" style="45" customWidth="1"/>
    <col min="6146" max="6146" width="11.140625" style="45" customWidth="1"/>
    <col min="6147" max="6147" width="11.28515625" style="45" customWidth="1"/>
    <col min="6148" max="6148" width="12.7109375" style="45" customWidth="1"/>
    <col min="6149" max="6149" width="17.5703125" style="45" customWidth="1"/>
    <col min="6150" max="6150" width="18.5703125" style="45" customWidth="1"/>
    <col min="6151" max="6151" width="21.5703125" style="45" customWidth="1"/>
    <col min="6152" max="6152" width="9.140625" style="45"/>
    <col min="6153" max="6159" width="0" style="45" hidden="1" customWidth="1"/>
    <col min="6160" max="6398" width="9.140625" style="45"/>
    <col min="6399" max="6399" width="7.85546875" style="45" customWidth="1"/>
    <col min="6400" max="6400" width="69.42578125" style="45" customWidth="1"/>
    <col min="6401" max="6401" width="10.28515625" style="45" customWidth="1"/>
    <col min="6402" max="6402" width="11.140625" style="45" customWidth="1"/>
    <col min="6403" max="6403" width="11.28515625" style="45" customWidth="1"/>
    <col min="6404" max="6404" width="12.7109375" style="45" customWidth="1"/>
    <col min="6405" max="6405" width="17.5703125" style="45" customWidth="1"/>
    <col min="6406" max="6406" width="18.5703125" style="45" customWidth="1"/>
    <col min="6407" max="6407" width="21.5703125" style="45" customWidth="1"/>
    <col min="6408" max="6408" width="9.140625" style="45"/>
    <col min="6409" max="6415" width="0" style="45" hidden="1" customWidth="1"/>
    <col min="6416" max="6654" width="9.140625" style="45"/>
    <col min="6655" max="6655" width="7.85546875" style="45" customWidth="1"/>
    <col min="6656" max="6656" width="69.42578125" style="45" customWidth="1"/>
    <col min="6657" max="6657" width="10.28515625" style="45" customWidth="1"/>
    <col min="6658" max="6658" width="11.140625" style="45" customWidth="1"/>
    <col min="6659" max="6659" width="11.28515625" style="45" customWidth="1"/>
    <col min="6660" max="6660" width="12.7109375" style="45" customWidth="1"/>
    <col min="6661" max="6661" width="17.5703125" style="45" customWidth="1"/>
    <col min="6662" max="6662" width="18.5703125" style="45" customWidth="1"/>
    <col min="6663" max="6663" width="21.5703125" style="45" customWidth="1"/>
    <col min="6664" max="6664" width="9.140625" style="45"/>
    <col min="6665" max="6671" width="0" style="45" hidden="1" customWidth="1"/>
    <col min="6672" max="6910" width="9.140625" style="45"/>
    <col min="6911" max="6911" width="7.85546875" style="45" customWidth="1"/>
    <col min="6912" max="6912" width="69.42578125" style="45" customWidth="1"/>
    <col min="6913" max="6913" width="10.28515625" style="45" customWidth="1"/>
    <col min="6914" max="6914" width="11.140625" style="45" customWidth="1"/>
    <col min="6915" max="6915" width="11.28515625" style="45" customWidth="1"/>
    <col min="6916" max="6916" width="12.7109375" style="45" customWidth="1"/>
    <col min="6917" max="6917" width="17.5703125" style="45" customWidth="1"/>
    <col min="6918" max="6918" width="18.5703125" style="45" customWidth="1"/>
    <col min="6919" max="6919" width="21.5703125" style="45" customWidth="1"/>
    <col min="6920" max="6920" width="9.140625" style="45"/>
    <col min="6921" max="6927" width="0" style="45" hidden="1" customWidth="1"/>
    <col min="6928" max="7166" width="9.140625" style="45"/>
    <col min="7167" max="7167" width="7.85546875" style="45" customWidth="1"/>
    <col min="7168" max="7168" width="69.42578125" style="45" customWidth="1"/>
    <col min="7169" max="7169" width="10.28515625" style="45" customWidth="1"/>
    <col min="7170" max="7170" width="11.140625" style="45" customWidth="1"/>
    <col min="7171" max="7171" width="11.28515625" style="45" customWidth="1"/>
    <col min="7172" max="7172" width="12.7109375" style="45" customWidth="1"/>
    <col min="7173" max="7173" width="17.5703125" style="45" customWidth="1"/>
    <col min="7174" max="7174" width="18.5703125" style="45" customWidth="1"/>
    <col min="7175" max="7175" width="21.5703125" style="45" customWidth="1"/>
    <col min="7176" max="7176" width="9.140625" style="45"/>
    <col min="7177" max="7183" width="0" style="45" hidden="1" customWidth="1"/>
    <col min="7184" max="7422" width="9.140625" style="45"/>
    <col min="7423" max="7423" width="7.85546875" style="45" customWidth="1"/>
    <col min="7424" max="7424" width="69.42578125" style="45" customWidth="1"/>
    <col min="7425" max="7425" width="10.28515625" style="45" customWidth="1"/>
    <col min="7426" max="7426" width="11.140625" style="45" customWidth="1"/>
    <col min="7427" max="7427" width="11.28515625" style="45" customWidth="1"/>
    <col min="7428" max="7428" width="12.7109375" style="45" customWidth="1"/>
    <col min="7429" max="7429" width="17.5703125" style="45" customWidth="1"/>
    <col min="7430" max="7430" width="18.5703125" style="45" customWidth="1"/>
    <col min="7431" max="7431" width="21.5703125" style="45" customWidth="1"/>
    <col min="7432" max="7432" width="9.140625" style="45"/>
    <col min="7433" max="7439" width="0" style="45" hidden="1" customWidth="1"/>
    <col min="7440" max="7678" width="9.140625" style="45"/>
    <col min="7679" max="7679" width="7.85546875" style="45" customWidth="1"/>
    <col min="7680" max="7680" width="69.42578125" style="45" customWidth="1"/>
    <col min="7681" max="7681" width="10.28515625" style="45" customWidth="1"/>
    <col min="7682" max="7682" width="11.140625" style="45" customWidth="1"/>
    <col min="7683" max="7683" width="11.28515625" style="45" customWidth="1"/>
    <col min="7684" max="7684" width="12.7109375" style="45" customWidth="1"/>
    <col min="7685" max="7685" width="17.5703125" style="45" customWidth="1"/>
    <col min="7686" max="7686" width="18.5703125" style="45" customWidth="1"/>
    <col min="7687" max="7687" width="21.5703125" style="45" customWidth="1"/>
    <col min="7688" max="7688" width="9.140625" style="45"/>
    <col min="7689" max="7695" width="0" style="45" hidden="1" customWidth="1"/>
    <col min="7696" max="7934" width="9.140625" style="45"/>
    <col min="7935" max="7935" width="7.85546875" style="45" customWidth="1"/>
    <col min="7936" max="7936" width="69.42578125" style="45" customWidth="1"/>
    <col min="7937" max="7937" width="10.28515625" style="45" customWidth="1"/>
    <col min="7938" max="7938" width="11.140625" style="45" customWidth="1"/>
    <col min="7939" max="7939" width="11.28515625" style="45" customWidth="1"/>
    <col min="7940" max="7940" width="12.7109375" style="45" customWidth="1"/>
    <col min="7941" max="7941" width="17.5703125" style="45" customWidth="1"/>
    <col min="7942" max="7942" width="18.5703125" style="45" customWidth="1"/>
    <col min="7943" max="7943" width="21.5703125" style="45" customWidth="1"/>
    <col min="7944" max="7944" width="9.140625" style="45"/>
    <col min="7945" max="7951" width="0" style="45" hidden="1" customWidth="1"/>
    <col min="7952" max="8190" width="9.140625" style="45"/>
    <col min="8191" max="8191" width="7.85546875" style="45" customWidth="1"/>
    <col min="8192" max="8192" width="69.42578125" style="45" customWidth="1"/>
    <col min="8193" max="8193" width="10.28515625" style="45" customWidth="1"/>
    <col min="8194" max="8194" width="11.140625" style="45" customWidth="1"/>
    <col min="8195" max="8195" width="11.28515625" style="45" customWidth="1"/>
    <col min="8196" max="8196" width="12.7109375" style="45" customWidth="1"/>
    <col min="8197" max="8197" width="17.5703125" style="45" customWidth="1"/>
    <col min="8198" max="8198" width="18.5703125" style="45" customWidth="1"/>
    <col min="8199" max="8199" width="21.5703125" style="45" customWidth="1"/>
    <col min="8200" max="8200" width="9.140625" style="45"/>
    <col min="8201" max="8207" width="0" style="45" hidden="1" customWidth="1"/>
    <col min="8208" max="8446" width="9.140625" style="45"/>
    <col min="8447" max="8447" width="7.85546875" style="45" customWidth="1"/>
    <col min="8448" max="8448" width="69.42578125" style="45" customWidth="1"/>
    <col min="8449" max="8449" width="10.28515625" style="45" customWidth="1"/>
    <col min="8450" max="8450" width="11.140625" style="45" customWidth="1"/>
    <col min="8451" max="8451" width="11.28515625" style="45" customWidth="1"/>
    <col min="8452" max="8452" width="12.7109375" style="45" customWidth="1"/>
    <col min="8453" max="8453" width="17.5703125" style="45" customWidth="1"/>
    <col min="8454" max="8454" width="18.5703125" style="45" customWidth="1"/>
    <col min="8455" max="8455" width="21.5703125" style="45" customWidth="1"/>
    <col min="8456" max="8456" width="9.140625" style="45"/>
    <col min="8457" max="8463" width="0" style="45" hidden="1" customWidth="1"/>
    <col min="8464" max="8702" width="9.140625" style="45"/>
    <col min="8703" max="8703" width="7.85546875" style="45" customWidth="1"/>
    <col min="8704" max="8704" width="69.42578125" style="45" customWidth="1"/>
    <col min="8705" max="8705" width="10.28515625" style="45" customWidth="1"/>
    <col min="8706" max="8706" width="11.140625" style="45" customWidth="1"/>
    <col min="8707" max="8707" width="11.28515625" style="45" customWidth="1"/>
    <col min="8708" max="8708" width="12.7109375" style="45" customWidth="1"/>
    <col min="8709" max="8709" width="17.5703125" style="45" customWidth="1"/>
    <col min="8710" max="8710" width="18.5703125" style="45" customWidth="1"/>
    <col min="8711" max="8711" width="21.5703125" style="45" customWidth="1"/>
    <col min="8712" max="8712" width="9.140625" style="45"/>
    <col min="8713" max="8719" width="0" style="45" hidden="1" customWidth="1"/>
    <col min="8720" max="8958" width="9.140625" style="45"/>
    <col min="8959" max="8959" width="7.85546875" style="45" customWidth="1"/>
    <col min="8960" max="8960" width="69.42578125" style="45" customWidth="1"/>
    <col min="8961" max="8961" width="10.28515625" style="45" customWidth="1"/>
    <col min="8962" max="8962" width="11.140625" style="45" customWidth="1"/>
    <col min="8963" max="8963" width="11.28515625" style="45" customWidth="1"/>
    <col min="8964" max="8964" width="12.7109375" style="45" customWidth="1"/>
    <col min="8965" max="8965" width="17.5703125" style="45" customWidth="1"/>
    <col min="8966" max="8966" width="18.5703125" style="45" customWidth="1"/>
    <col min="8967" max="8967" width="21.5703125" style="45" customWidth="1"/>
    <col min="8968" max="8968" width="9.140625" style="45"/>
    <col min="8969" max="8975" width="0" style="45" hidden="1" customWidth="1"/>
    <col min="8976" max="9214" width="9.140625" style="45"/>
    <col min="9215" max="9215" width="7.85546875" style="45" customWidth="1"/>
    <col min="9216" max="9216" width="69.42578125" style="45" customWidth="1"/>
    <col min="9217" max="9217" width="10.28515625" style="45" customWidth="1"/>
    <col min="9218" max="9218" width="11.140625" style="45" customWidth="1"/>
    <col min="9219" max="9219" width="11.28515625" style="45" customWidth="1"/>
    <col min="9220" max="9220" width="12.7109375" style="45" customWidth="1"/>
    <col min="9221" max="9221" width="17.5703125" style="45" customWidth="1"/>
    <col min="9222" max="9222" width="18.5703125" style="45" customWidth="1"/>
    <col min="9223" max="9223" width="21.5703125" style="45" customWidth="1"/>
    <col min="9224" max="9224" width="9.140625" style="45"/>
    <col min="9225" max="9231" width="0" style="45" hidden="1" customWidth="1"/>
    <col min="9232" max="9470" width="9.140625" style="45"/>
    <col min="9471" max="9471" width="7.85546875" style="45" customWidth="1"/>
    <col min="9472" max="9472" width="69.42578125" style="45" customWidth="1"/>
    <col min="9473" max="9473" width="10.28515625" style="45" customWidth="1"/>
    <col min="9474" max="9474" width="11.140625" style="45" customWidth="1"/>
    <col min="9475" max="9475" width="11.28515625" style="45" customWidth="1"/>
    <col min="9476" max="9476" width="12.7109375" style="45" customWidth="1"/>
    <col min="9477" max="9477" width="17.5703125" style="45" customWidth="1"/>
    <col min="9478" max="9478" width="18.5703125" style="45" customWidth="1"/>
    <col min="9479" max="9479" width="21.5703125" style="45" customWidth="1"/>
    <col min="9480" max="9480" width="9.140625" style="45"/>
    <col min="9481" max="9487" width="0" style="45" hidden="1" customWidth="1"/>
    <col min="9488" max="9726" width="9.140625" style="45"/>
    <col min="9727" max="9727" width="7.85546875" style="45" customWidth="1"/>
    <col min="9728" max="9728" width="69.42578125" style="45" customWidth="1"/>
    <col min="9729" max="9729" width="10.28515625" style="45" customWidth="1"/>
    <col min="9730" max="9730" width="11.140625" style="45" customWidth="1"/>
    <col min="9731" max="9731" width="11.28515625" style="45" customWidth="1"/>
    <col min="9732" max="9732" width="12.7109375" style="45" customWidth="1"/>
    <col min="9733" max="9733" width="17.5703125" style="45" customWidth="1"/>
    <col min="9734" max="9734" width="18.5703125" style="45" customWidth="1"/>
    <col min="9735" max="9735" width="21.5703125" style="45" customWidth="1"/>
    <col min="9736" max="9736" width="9.140625" style="45"/>
    <col min="9737" max="9743" width="0" style="45" hidden="1" customWidth="1"/>
    <col min="9744" max="9982" width="9.140625" style="45"/>
    <col min="9983" max="9983" width="7.85546875" style="45" customWidth="1"/>
    <col min="9984" max="9984" width="69.42578125" style="45" customWidth="1"/>
    <col min="9985" max="9985" width="10.28515625" style="45" customWidth="1"/>
    <col min="9986" max="9986" width="11.140625" style="45" customWidth="1"/>
    <col min="9987" max="9987" width="11.28515625" style="45" customWidth="1"/>
    <col min="9988" max="9988" width="12.7109375" style="45" customWidth="1"/>
    <col min="9989" max="9989" width="17.5703125" style="45" customWidth="1"/>
    <col min="9990" max="9990" width="18.5703125" style="45" customWidth="1"/>
    <col min="9991" max="9991" width="21.5703125" style="45" customWidth="1"/>
    <col min="9992" max="9992" width="9.140625" style="45"/>
    <col min="9993" max="9999" width="0" style="45" hidden="1" customWidth="1"/>
    <col min="10000" max="10238" width="9.140625" style="45"/>
    <col min="10239" max="10239" width="7.85546875" style="45" customWidth="1"/>
    <col min="10240" max="10240" width="69.42578125" style="45" customWidth="1"/>
    <col min="10241" max="10241" width="10.28515625" style="45" customWidth="1"/>
    <col min="10242" max="10242" width="11.140625" style="45" customWidth="1"/>
    <col min="10243" max="10243" width="11.28515625" style="45" customWidth="1"/>
    <col min="10244" max="10244" width="12.7109375" style="45" customWidth="1"/>
    <col min="10245" max="10245" width="17.5703125" style="45" customWidth="1"/>
    <col min="10246" max="10246" width="18.5703125" style="45" customWidth="1"/>
    <col min="10247" max="10247" width="21.5703125" style="45" customWidth="1"/>
    <col min="10248" max="10248" width="9.140625" style="45"/>
    <col min="10249" max="10255" width="0" style="45" hidden="1" customWidth="1"/>
    <col min="10256" max="10494" width="9.140625" style="45"/>
    <col min="10495" max="10495" width="7.85546875" style="45" customWidth="1"/>
    <col min="10496" max="10496" width="69.42578125" style="45" customWidth="1"/>
    <col min="10497" max="10497" width="10.28515625" style="45" customWidth="1"/>
    <col min="10498" max="10498" width="11.140625" style="45" customWidth="1"/>
    <col min="10499" max="10499" width="11.28515625" style="45" customWidth="1"/>
    <col min="10500" max="10500" width="12.7109375" style="45" customWidth="1"/>
    <col min="10501" max="10501" width="17.5703125" style="45" customWidth="1"/>
    <col min="10502" max="10502" width="18.5703125" style="45" customWidth="1"/>
    <col min="10503" max="10503" width="21.5703125" style="45" customWidth="1"/>
    <col min="10504" max="10504" width="9.140625" style="45"/>
    <col min="10505" max="10511" width="0" style="45" hidden="1" customWidth="1"/>
    <col min="10512" max="10750" width="9.140625" style="45"/>
    <col min="10751" max="10751" width="7.85546875" style="45" customWidth="1"/>
    <col min="10752" max="10752" width="69.42578125" style="45" customWidth="1"/>
    <col min="10753" max="10753" width="10.28515625" style="45" customWidth="1"/>
    <col min="10754" max="10754" width="11.140625" style="45" customWidth="1"/>
    <col min="10755" max="10755" width="11.28515625" style="45" customWidth="1"/>
    <col min="10756" max="10756" width="12.7109375" style="45" customWidth="1"/>
    <col min="10757" max="10757" width="17.5703125" style="45" customWidth="1"/>
    <col min="10758" max="10758" width="18.5703125" style="45" customWidth="1"/>
    <col min="10759" max="10759" width="21.5703125" style="45" customWidth="1"/>
    <col min="10760" max="10760" width="9.140625" style="45"/>
    <col min="10761" max="10767" width="0" style="45" hidden="1" customWidth="1"/>
    <col min="10768" max="11006" width="9.140625" style="45"/>
    <col min="11007" max="11007" width="7.85546875" style="45" customWidth="1"/>
    <col min="11008" max="11008" width="69.42578125" style="45" customWidth="1"/>
    <col min="11009" max="11009" width="10.28515625" style="45" customWidth="1"/>
    <col min="11010" max="11010" width="11.140625" style="45" customWidth="1"/>
    <col min="11011" max="11011" width="11.28515625" style="45" customWidth="1"/>
    <col min="11012" max="11012" width="12.7109375" style="45" customWidth="1"/>
    <col min="11013" max="11013" width="17.5703125" style="45" customWidth="1"/>
    <col min="11014" max="11014" width="18.5703125" style="45" customWidth="1"/>
    <col min="11015" max="11015" width="21.5703125" style="45" customWidth="1"/>
    <col min="11016" max="11016" width="9.140625" style="45"/>
    <col min="11017" max="11023" width="0" style="45" hidden="1" customWidth="1"/>
    <col min="11024" max="11262" width="9.140625" style="45"/>
    <col min="11263" max="11263" width="7.85546875" style="45" customWidth="1"/>
    <col min="11264" max="11264" width="69.42578125" style="45" customWidth="1"/>
    <col min="11265" max="11265" width="10.28515625" style="45" customWidth="1"/>
    <col min="11266" max="11266" width="11.140625" style="45" customWidth="1"/>
    <col min="11267" max="11267" width="11.28515625" style="45" customWidth="1"/>
    <col min="11268" max="11268" width="12.7109375" style="45" customWidth="1"/>
    <col min="11269" max="11269" width="17.5703125" style="45" customWidth="1"/>
    <col min="11270" max="11270" width="18.5703125" style="45" customWidth="1"/>
    <col min="11271" max="11271" width="21.5703125" style="45" customWidth="1"/>
    <col min="11272" max="11272" width="9.140625" style="45"/>
    <col min="11273" max="11279" width="0" style="45" hidden="1" customWidth="1"/>
    <col min="11280" max="11518" width="9.140625" style="45"/>
    <col min="11519" max="11519" width="7.85546875" style="45" customWidth="1"/>
    <col min="11520" max="11520" width="69.42578125" style="45" customWidth="1"/>
    <col min="11521" max="11521" width="10.28515625" style="45" customWidth="1"/>
    <col min="11522" max="11522" width="11.140625" style="45" customWidth="1"/>
    <col min="11523" max="11523" width="11.28515625" style="45" customWidth="1"/>
    <col min="11524" max="11524" width="12.7109375" style="45" customWidth="1"/>
    <col min="11525" max="11525" width="17.5703125" style="45" customWidth="1"/>
    <col min="11526" max="11526" width="18.5703125" style="45" customWidth="1"/>
    <col min="11527" max="11527" width="21.5703125" style="45" customWidth="1"/>
    <col min="11528" max="11528" width="9.140625" style="45"/>
    <col min="11529" max="11535" width="0" style="45" hidden="1" customWidth="1"/>
    <col min="11536" max="11774" width="9.140625" style="45"/>
    <col min="11775" max="11775" width="7.85546875" style="45" customWidth="1"/>
    <col min="11776" max="11776" width="69.42578125" style="45" customWidth="1"/>
    <col min="11777" max="11777" width="10.28515625" style="45" customWidth="1"/>
    <col min="11778" max="11778" width="11.140625" style="45" customWidth="1"/>
    <col min="11779" max="11779" width="11.28515625" style="45" customWidth="1"/>
    <col min="11780" max="11780" width="12.7109375" style="45" customWidth="1"/>
    <col min="11781" max="11781" width="17.5703125" style="45" customWidth="1"/>
    <col min="11782" max="11782" width="18.5703125" style="45" customWidth="1"/>
    <col min="11783" max="11783" width="21.5703125" style="45" customWidth="1"/>
    <col min="11784" max="11784" width="9.140625" style="45"/>
    <col min="11785" max="11791" width="0" style="45" hidden="1" customWidth="1"/>
    <col min="11792" max="12030" width="9.140625" style="45"/>
    <col min="12031" max="12031" width="7.85546875" style="45" customWidth="1"/>
    <col min="12032" max="12032" width="69.42578125" style="45" customWidth="1"/>
    <col min="12033" max="12033" width="10.28515625" style="45" customWidth="1"/>
    <col min="12034" max="12034" width="11.140625" style="45" customWidth="1"/>
    <col min="12035" max="12035" width="11.28515625" style="45" customWidth="1"/>
    <col min="12036" max="12036" width="12.7109375" style="45" customWidth="1"/>
    <col min="12037" max="12037" width="17.5703125" style="45" customWidth="1"/>
    <col min="12038" max="12038" width="18.5703125" style="45" customWidth="1"/>
    <col min="12039" max="12039" width="21.5703125" style="45" customWidth="1"/>
    <col min="12040" max="12040" width="9.140625" style="45"/>
    <col min="12041" max="12047" width="0" style="45" hidden="1" customWidth="1"/>
    <col min="12048" max="12286" width="9.140625" style="45"/>
    <col min="12287" max="12287" width="7.85546875" style="45" customWidth="1"/>
    <col min="12288" max="12288" width="69.42578125" style="45" customWidth="1"/>
    <col min="12289" max="12289" width="10.28515625" style="45" customWidth="1"/>
    <col min="12290" max="12290" width="11.140625" style="45" customWidth="1"/>
    <col min="12291" max="12291" width="11.28515625" style="45" customWidth="1"/>
    <col min="12292" max="12292" width="12.7109375" style="45" customWidth="1"/>
    <col min="12293" max="12293" width="17.5703125" style="45" customWidth="1"/>
    <col min="12294" max="12294" width="18.5703125" style="45" customWidth="1"/>
    <col min="12295" max="12295" width="21.5703125" style="45" customWidth="1"/>
    <col min="12296" max="12296" width="9.140625" style="45"/>
    <col min="12297" max="12303" width="0" style="45" hidden="1" customWidth="1"/>
    <col min="12304" max="12542" width="9.140625" style="45"/>
    <col min="12543" max="12543" width="7.85546875" style="45" customWidth="1"/>
    <col min="12544" max="12544" width="69.42578125" style="45" customWidth="1"/>
    <col min="12545" max="12545" width="10.28515625" style="45" customWidth="1"/>
    <col min="12546" max="12546" width="11.140625" style="45" customWidth="1"/>
    <col min="12547" max="12547" width="11.28515625" style="45" customWidth="1"/>
    <col min="12548" max="12548" width="12.7109375" style="45" customWidth="1"/>
    <col min="12549" max="12549" width="17.5703125" style="45" customWidth="1"/>
    <col min="12550" max="12550" width="18.5703125" style="45" customWidth="1"/>
    <col min="12551" max="12551" width="21.5703125" style="45" customWidth="1"/>
    <col min="12552" max="12552" width="9.140625" style="45"/>
    <col min="12553" max="12559" width="0" style="45" hidden="1" customWidth="1"/>
    <col min="12560" max="12798" width="9.140625" style="45"/>
    <col min="12799" max="12799" width="7.85546875" style="45" customWidth="1"/>
    <col min="12800" max="12800" width="69.42578125" style="45" customWidth="1"/>
    <col min="12801" max="12801" width="10.28515625" style="45" customWidth="1"/>
    <col min="12802" max="12802" width="11.140625" style="45" customWidth="1"/>
    <col min="12803" max="12803" width="11.28515625" style="45" customWidth="1"/>
    <col min="12804" max="12804" width="12.7109375" style="45" customWidth="1"/>
    <col min="12805" max="12805" width="17.5703125" style="45" customWidth="1"/>
    <col min="12806" max="12806" width="18.5703125" style="45" customWidth="1"/>
    <col min="12807" max="12807" width="21.5703125" style="45" customWidth="1"/>
    <col min="12808" max="12808" width="9.140625" style="45"/>
    <col min="12809" max="12815" width="0" style="45" hidden="1" customWidth="1"/>
    <col min="12816" max="13054" width="9.140625" style="45"/>
    <col min="13055" max="13055" width="7.85546875" style="45" customWidth="1"/>
    <col min="13056" max="13056" width="69.42578125" style="45" customWidth="1"/>
    <col min="13057" max="13057" width="10.28515625" style="45" customWidth="1"/>
    <col min="13058" max="13058" width="11.140625" style="45" customWidth="1"/>
    <col min="13059" max="13059" width="11.28515625" style="45" customWidth="1"/>
    <col min="13060" max="13060" width="12.7109375" style="45" customWidth="1"/>
    <col min="13061" max="13061" width="17.5703125" style="45" customWidth="1"/>
    <col min="13062" max="13062" width="18.5703125" style="45" customWidth="1"/>
    <col min="13063" max="13063" width="21.5703125" style="45" customWidth="1"/>
    <col min="13064" max="13064" width="9.140625" style="45"/>
    <col min="13065" max="13071" width="0" style="45" hidden="1" customWidth="1"/>
    <col min="13072" max="13310" width="9.140625" style="45"/>
    <col min="13311" max="13311" width="7.85546875" style="45" customWidth="1"/>
    <col min="13312" max="13312" width="69.42578125" style="45" customWidth="1"/>
    <col min="13313" max="13313" width="10.28515625" style="45" customWidth="1"/>
    <col min="13314" max="13314" width="11.140625" style="45" customWidth="1"/>
    <col min="13315" max="13315" width="11.28515625" style="45" customWidth="1"/>
    <col min="13316" max="13316" width="12.7109375" style="45" customWidth="1"/>
    <col min="13317" max="13317" width="17.5703125" style="45" customWidth="1"/>
    <col min="13318" max="13318" width="18.5703125" style="45" customWidth="1"/>
    <col min="13319" max="13319" width="21.5703125" style="45" customWidth="1"/>
    <col min="13320" max="13320" width="9.140625" style="45"/>
    <col min="13321" max="13327" width="0" style="45" hidden="1" customWidth="1"/>
    <col min="13328" max="13566" width="9.140625" style="45"/>
    <col min="13567" max="13567" width="7.85546875" style="45" customWidth="1"/>
    <col min="13568" max="13568" width="69.42578125" style="45" customWidth="1"/>
    <col min="13569" max="13569" width="10.28515625" style="45" customWidth="1"/>
    <col min="13570" max="13570" width="11.140625" style="45" customWidth="1"/>
    <col min="13571" max="13571" width="11.28515625" style="45" customWidth="1"/>
    <col min="13572" max="13572" width="12.7109375" style="45" customWidth="1"/>
    <col min="13573" max="13573" width="17.5703125" style="45" customWidth="1"/>
    <col min="13574" max="13574" width="18.5703125" style="45" customWidth="1"/>
    <col min="13575" max="13575" width="21.5703125" style="45" customWidth="1"/>
    <col min="13576" max="13576" width="9.140625" style="45"/>
    <col min="13577" max="13583" width="0" style="45" hidden="1" customWidth="1"/>
    <col min="13584" max="13822" width="9.140625" style="45"/>
    <col min="13823" max="13823" width="7.85546875" style="45" customWidth="1"/>
    <col min="13824" max="13824" width="69.42578125" style="45" customWidth="1"/>
    <col min="13825" max="13825" width="10.28515625" style="45" customWidth="1"/>
    <col min="13826" max="13826" width="11.140625" style="45" customWidth="1"/>
    <col min="13827" max="13827" width="11.28515625" style="45" customWidth="1"/>
    <col min="13828" max="13828" width="12.7109375" style="45" customWidth="1"/>
    <col min="13829" max="13829" width="17.5703125" style="45" customWidth="1"/>
    <col min="13830" max="13830" width="18.5703125" style="45" customWidth="1"/>
    <col min="13831" max="13831" width="21.5703125" style="45" customWidth="1"/>
    <col min="13832" max="13832" width="9.140625" style="45"/>
    <col min="13833" max="13839" width="0" style="45" hidden="1" customWidth="1"/>
    <col min="13840" max="14078" width="9.140625" style="45"/>
    <col min="14079" max="14079" width="7.85546875" style="45" customWidth="1"/>
    <col min="14080" max="14080" width="69.42578125" style="45" customWidth="1"/>
    <col min="14081" max="14081" width="10.28515625" style="45" customWidth="1"/>
    <col min="14082" max="14082" width="11.140625" style="45" customWidth="1"/>
    <col min="14083" max="14083" width="11.28515625" style="45" customWidth="1"/>
    <col min="14084" max="14084" width="12.7109375" style="45" customWidth="1"/>
    <col min="14085" max="14085" width="17.5703125" style="45" customWidth="1"/>
    <col min="14086" max="14086" width="18.5703125" style="45" customWidth="1"/>
    <col min="14087" max="14087" width="21.5703125" style="45" customWidth="1"/>
    <col min="14088" max="14088" width="9.140625" style="45"/>
    <col min="14089" max="14095" width="0" style="45" hidden="1" customWidth="1"/>
    <col min="14096" max="14334" width="9.140625" style="45"/>
    <col min="14335" max="14335" width="7.85546875" style="45" customWidth="1"/>
    <col min="14336" max="14336" width="69.42578125" style="45" customWidth="1"/>
    <col min="14337" max="14337" width="10.28515625" style="45" customWidth="1"/>
    <col min="14338" max="14338" width="11.140625" style="45" customWidth="1"/>
    <col min="14339" max="14339" width="11.28515625" style="45" customWidth="1"/>
    <col min="14340" max="14340" width="12.7109375" style="45" customWidth="1"/>
    <col min="14341" max="14341" width="17.5703125" style="45" customWidth="1"/>
    <col min="14342" max="14342" width="18.5703125" style="45" customWidth="1"/>
    <col min="14343" max="14343" width="21.5703125" style="45" customWidth="1"/>
    <col min="14344" max="14344" width="9.140625" style="45"/>
    <col min="14345" max="14351" width="0" style="45" hidden="1" customWidth="1"/>
    <col min="14352" max="14590" width="9.140625" style="45"/>
    <col min="14591" max="14591" width="7.85546875" style="45" customWidth="1"/>
    <col min="14592" max="14592" width="69.42578125" style="45" customWidth="1"/>
    <col min="14593" max="14593" width="10.28515625" style="45" customWidth="1"/>
    <col min="14594" max="14594" width="11.140625" style="45" customWidth="1"/>
    <col min="14595" max="14595" width="11.28515625" style="45" customWidth="1"/>
    <col min="14596" max="14596" width="12.7109375" style="45" customWidth="1"/>
    <col min="14597" max="14597" width="17.5703125" style="45" customWidth="1"/>
    <col min="14598" max="14598" width="18.5703125" style="45" customWidth="1"/>
    <col min="14599" max="14599" width="21.5703125" style="45" customWidth="1"/>
    <col min="14600" max="14600" width="9.140625" style="45"/>
    <col min="14601" max="14607" width="0" style="45" hidden="1" customWidth="1"/>
    <col min="14608" max="14846" width="9.140625" style="45"/>
    <col min="14847" max="14847" width="7.85546875" style="45" customWidth="1"/>
    <col min="14848" max="14848" width="69.42578125" style="45" customWidth="1"/>
    <col min="14849" max="14849" width="10.28515625" style="45" customWidth="1"/>
    <col min="14850" max="14850" width="11.140625" style="45" customWidth="1"/>
    <col min="14851" max="14851" width="11.28515625" style="45" customWidth="1"/>
    <col min="14852" max="14852" width="12.7109375" style="45" customWidth="1"/>
    <col min="14853" max="14853" width="17.5703125" style="45" customWidth="1"/>
    <col min="14854" max="14854" width="18.5703125" style="45" customWidth="1"/>
    <col min="14855" max="14855" width="21.5703125" style="45" customWidth="1"/>
    <col min="14856" max="14856" width="9.140625" style="45"/>
    <col min="14857" max="14863" width="0" style="45" hidden="1" customWidth="1"/>
    <col min="14864" max="15102" width="9.140625" style="45"/>
    <col min="15103" max="15103" width="7.85546875" style="45" customWidth="1"/>
    <col min="15104" max="15104" width="69.42578125" style="45" customWidth="1"/>
    <col min="15105" max="15105" width="10.28515625" style="45" customWidth="1"/>
    <col min="15106" max="15106" width="11.140625" style="45" customWidth="1"/>
    <col min="15107" max="15107" width="11.28515625" style="45" customWidth="1"/>
    <col min="15108" max="15108" width="12.7109375" style="45" customWidth="1"/>
    <col min="15109" max="15109" width="17.5703125" style="45" customWidth="1"/>
    <col min="15110" max="15110" width="18.5703125" style="45" customWidth="1"/>
    <col min="15111" max="15111" width="21.5703125" style="45" customWidth="1"/>
    <col min="15112" max="15112" width="9.140625" style="45"/>
    <col min="15113" max="15119" width="0" style="45" hidden="1" customWidth="1"/>
    <col min="15120" max="15358" width="9.140625" style="45"/>
    <col min="15359" max="15359" width="7.85546875" style="45" customWidth="1"/>
    <col min="15360" max="15360" width="69.42578125" style="45" customWidth="1"/>
    <col min="15361" max="15361" width="10.28515625" style="45" customWidth="1"/>
    <col min="15362" max="15362" width="11.140625" style="45" customWidth="1"/>
    <col min="15363" max="15363" width="11.28515625" style="45" customWidth="1"/>
    <col min="15364" max="15364" width="12.7109375" style="45" customWidth="1"/>
    <col min="15365" max="15365" width="17.5703125" style="45" customWidth="1"/>
    <col min="15366" max="15366" width="18.5703125" style="45" customWidth="1"/>
    <col min="15367" max="15367" width="21.5703125" style="45" customWidth="1"/>
    <col min="15368" max="15368" width="9.140625" style="45"/>
    <col min="15369" max="15375" width="0" style="45" hidden="1" customWidth="1"/>
    <col min="15376" max="15614" width="9.140625" style="45"/>
    <col min="15615" max="15615" width="7.85546875" style="45" customWidth="1"/>
    <col min="15616" max="15616" width="69.42578125" style="45" customWidth="1"/>
    <col min="15617" max="15617" width="10.28515625" style="45" customWidth="1"/>
    <col min="15618" max="15618" width="11.140625" style="45" customWidth="1"/>
    <col min="15619" max="15619" width="11.28515625" style="45" customWidth="1"/>
    <col min="15620" max="15620" width="12.7109375" style="45" customWidth="1"/>
    <col min="15621" max="15621" width="17.5703125" style="45" customWidth="1"/>
    <col min="15622" max="15622" width="18.5703125" style="45" customWidth="1"/>
    <col min="15623" max="15623" width="21.5703125" style="45" customWidth="1"/>
    <col min="15624" max="15624" width="9.140625" style="45"/>
    <col min="15625" max="15631" width="0" style="45" hidden="1" customWidth="1"/>
    <col min="15632" max="15870" width="9.140625" style="45"/>
    <col min="15871" max="15871" width="7.85546875" style="45" customWidth="1"/>
    <col min="15872" max="15872" width="69.42578125" style="45" customWidth="1"/>
    <col min="15873" max="15873" width="10.28515625" style="45" customWidth="1"/>
    <col min="15874" max="15874" width="11.140625" style="45" customWidth="1"/>
    <col min="15875" max="15875" width="11.28515625" style="45" customWidth="1"/>
    <col min="15876" max="15876" width="12.7109375" style="45" customWidth="1"/>
    <col min="15877" max="15877" width="17.5703125" style="45" customWidth="1"/>
    <col min="15878" max="15878" width="18.5703125" style="45" customWidth="1"/>
    <col min="15879" max="15879" width="21.5703125" style="45" customWidth="1"/>
    <col min="15880" max="15880" width="9.140625" style="45"/>
    <col min="15881" max="15887" width="0" style="45" hidden="1" customWidth="1"/>
    <col min="15888" max="16126" width="9.140625" style="45"/>
    <col min="16127" max="16127" width="7.85546875" style="45" customWidth="1"/>
    <col min="16128" max="16128" width="69.42578125" style="45" customWidth="1"/>
    <col min="16129" max="16129" width="10.28515625" style="45" customWidth="1"/>
    <col min="16130" max="16130" width="11.140625" style="45" customWidth="1"/>
    <col min="16131" max="16131" width="11.28515625" style="45" customWidth="1"/>
    <col min="16132" max="16132" width="12.7109375" style="45" customWidth="1"/>
    <col min="16133" max="16133" width="17.5703125" style="45" customWidth="1"/>
    <col min="16134" max="16134" width="18.5703125" style="45" customWidth="1"/>
    <col min="16135" max="16135" width="21.5703125" style="45" customWidth="1"/>
    <col min="16136" max="16136" width="9.140625" style="45"/>
    <col min="16137" max="16143" width="0" style="45" hidden="1" customWidth="1"/>
    <col min="16144" max="16384" width="9.140625" style="45"/>
  </cols>
  <sheetData>
    <row r="1" spans="1:8" s="40" customFormat="1" ht="17.25" customHeight="1">
      <c r="A1" s="714"/>
      <c r="B1" s="714"/>
      <c r="C1" s="715"/>
      <c r="D1" s="715"/>
      <c r="E1" s="37"/>
      <c r="F1" s="37"/>
      <c r="G1" s="38"/>
      <c r="H1" s="39"/>
    </row>
    <row r="2" spans="1:8" ht="13.5" thickBot="1">
      <c r="A2" s="41"/>
      <c r="B2" s="41"/>
      <c r="C2" s="497"/>
      <c r="D2" s="498"/>
      <c r="E2" s="42"/>
      <c r="F2" s="42"/>
      <c r="H2" s="44"/>
    </row>
    <row r="3" spans="1:8" ht="39.75" customHeight="1" thickBot="1">
      <c r="A3" s="716" t="s">
        <v>1552</v>
      </c>
      <c r="B3" s="717"/>
      <c r="C3" s="717"/>
      <c r="D3" s="717"/>
      <c r="E3" s="717"/>
      <c r="F3" s="717"/>
      <c r="G3" s="718"/>
      <c r="H3" s="44"/>
    </row>
    <row r="4" spans="1:8" ht="13.5" thickBot="1">
      <c r="A4" s="711"/>
      <c r="B4" s="712"/>
      <c r="C4" s="712"/>
      <c r="D4" s="712"/>
      <c r="E4" s="712"/>
      <c r="F4" s="712"/>
      <c r="G4" s="713"/>
    </row>
    <row r="5" spans="1:8" ht="26.25" customHeight="1" thickBot="1">
      <c r="A5" s="485" t="s">
        <v>1501</v>
      </c>
      <c r="B5" s="722" t="s">
        <v>1499</v>
      </c>
      <c r="C5" s="723"/>
      <c r="D5" s="723"/>
      <c r="E5" s="723"/>
      <c r="F5" s="723"/>
      <c r="G5" s="724"/>
      <c r="H5" s="44"/>
    </row>
    <row r="6" spans="1:8" s="47" customFormat="1" ht="25.5">
      <c r="A6" s="71" t="s">
        <v>1343</v>
      </c>
      <c r="B6" s="72" t="s">
        <v>464</v>
      </c>
      <c r="C6" s="73" t="s">
        <v>1344</v>
      </c>
      <c r="D6" s="74" t="s">
        <v>1345</v>
      </c>
      <c r="E6" s="74" t="s">
        <v>1346</v>
      </c>
      <c r="F6" s="74" t="s">
        <v>1347</v>
      </c>
      <c r="G6" s="75" t="s">
        <v>138</v>
      </c>
      <c r="H6" s="46"/>
    </row>
    <row r="7" spans="1:8" s="44" customFormat="1">
      <c r="A7" s="49" t="str">
        <f>'Materiais de reposição'!A4</f>
        <v>2.1</v>
      </c>
      <c r="B7" s="50" t="str">
        <f>'Materiais de reposição'!C4</f>
        <v>Cuba de sobrepor oval branca DECA L 65</v>
      </c>
      <c r="C7" s="51" t="str">
        <f>'Materiais de reposição'!E4</f>
        <v>unid</v>
      </c>
      <c r="D7" s="51">
        <f>'Materiais de reposição'!D4</f>
        <v>1</v>
      </c>
      <c r="E7" s="496">
        <f>'Materiais de reposição'!F4</f>
        <v>166.34</v>
      </c>
      <c r="F7" s="496">
        <f>'Materiais de reposição'!G4</f>
        <v>166.34</v>
      </c>
      <c r="G7" s="506" t="str">
        <f>'Materiais de reposição'!H4</f>
        <v>ARQUITETURA</v>
      </c>
      <c r="H7" s="53"/>
    </row>
    <row r="8" spans="1:8" s="44" customFormat="1">
      <c r="A8" s="49" t="str">
        <f>'Materiais de reposição'!A5</f>
        <v>2.2</v>
      </c>
      <c r="B8" s="50" t="str">
        <f>'Materiais de reposição'!C5</f>
        <v>Lavatório com coluna suspensa de louça branca deca modelo vogue plus L51 CS1v</v>
      </c>
      <c r="C8" s="51" t="str">
        <f>'Materiais de reposição'!E5</f>
        <v>unid</v>
      </c>
      <c r="D8" s="51">
        <f>'Materiais de reposição'!D5</f>
        <v>1</v>
      </c>
      <c r="E8" s="496">
        <f>'Materiais de reposição'!F5</f>
        <v>309.85000000000002</v>
      </c>
      <c r="F8" s="496">
        <f>'Materiais de reposição'!G5</f>
        <v>309.85000000000002</v>
      </c>
      <c r="G8" s="506" t="str">
        <f>'Materiais de reposição'!H5</f>
        <v>ARQUITETURA</v>
      </c>
      <c r="H8" s="53"/>
    </row>
    <row r="9" spans="1:8" s="44" customFormat="1">
      <c r="A9" s="49" t="str">
        <f>'Materiais de reposição'!A6</f>
        <v>2.3</v>
      </c>
      <c r="B9" s="50" t="str">
        <f>'Materiais de reposição'!C6</f>
        <v>Tanque grande branco com coluna Deca TQ03</v>
      </c>
      <c r="C9" s="51" t="str">
        <f>'Materiais de reposição'!E6</f>
        <v>unid</v>
      </c>
      <c r="D9" s="51">
        <f>'Materiais de reposição'!D6</f>
        <v>1</v>
      </c>
      <c r="E9" s="496">
        <f>'Materiais de reposição'!F6</f>
        <v>521.46</v>
      </c>
      <c r="F9" s="496">
        <f>'Materiais de reposição'!G6</f>
        <v>521.46</v>
      </c>
      <c r="G9" s="506" t="str">
        <f>'Materiais de reposição'!H6</f>
        <v>ARQUITETURA</v>
      </c>
      <c r="H9" s="53"/>
    </row>
    <row r="10" spans="1:8" s="44" customFormat="1">
      <c r="A10" s="49" t="str">
        <f>'Materiais de reposição'!A7</f>
        <v>2.4</v>
      </c>
      <c r="B10" s="50" t="str">
        <f>'Materiais de reposição'!C7</f>
        <v xml:space="preserve">TORNEIRA CROMADA DE MESA PARA LAVATORIO TEMPORIZADA PRESSAO BICA BAIXA </v>
      </c>
      <c r="C10" s="51" t="str">
        <f>'Materiais de reposição'!E7</f>
        <v>unid</v>
      </c>
      <c r="D10" s="51">
        <f>'Materiais de reposição'!D7</f>
        <v>4</v>
      </c>
      <c r="E10" s="496">
        <f>'Materiais de reposição'!F7</f>
        <v>121.19</v>
      </c>
      <c r="F10" s="496">
        <f>'Materiais de reposição'!G7</f>
        <v>484.76</v>
      </c>
      <c r="G10" s="506" t="str">
        <f>'Materiais de reposição'!H7</f>
        <v>ARQUITETURA</v>
      </c>
      <c r="H10" s="53"/>
    </row>
    <row r="11" spans="1:8" s="44" customFormat="1">
      <c r="A11" s="49" t="str">
        <f>'Materiais de reposição'!A8</f>
        <v>2.5</v>
      </c>
      <c r="B11" s="50" t="str">
        <f>'Materiais de reposição'!C8</f>
        <v>ASSENTO SANITARIO DE PLASTICO, TIPO CONVENCIONAL</v>
      </c>
      <c r="C11" s="51" t="str">
        <f>'Materiais de reposição'!E8</f>
        <v>unid</v>
      </c>
      <c r="D11" s="51">
        <f>'Materiais de reposição'!D8</f>
        <v>6</v>
      </c>
      <c r="E11" s="496">
        <f>'Materiais de reposição'!F8</f>
        <v>44.95</v>
      </c>
      <c r="F11" s="496">
        <f>'Materiais de reposição'!G8</f>
        <v>269.70000000000005</v>
      </c>
      <c r="G11" s="506" t="str">
        <f>'Materiais de reposição'!H8</f>
        <v>ARQUITETURA</v>
      </c>
      <c r="H11" s="53"/>
    </row>
    <row r="12" spans="1:8" s="44" customFormat="1">
      <c r="A12" s="49" t="str">
        <f>'Materiais de reposição'!A9</f>
        <v>2.6</v>
      </c>
      <c r="B12" s="50" t="str">
        <f>'Materiais de reposição'!C9</f>
        <v>CUBA para cozinha retangular em AÇO INOX, 400 x 340 mm, com 170mm de profundidade</v>
      </c>
      <c r="C12" s="51" t="str">
        <f>'Materiais de reposição'!E9</f>
        <v>unid</v>
      </c>
      <c r="D12" s="51">
        <f>'Materiais de reposição'!D9</f>
        <v>1</v>
      </c>
      <c r="E12" s="496">
        <f>'Materiais de reposição'!F9</f>
        <v>214.11</v>
      </c>
      <c r="F12" s="496">
        <f>'Materiais de reposição'!G9</f>
        <v>214.11</v>
      </c>
      <c r="G12" s="506" t="str">
        <f>'Materiais de reposição'!H9</f>
        <v>ARQUITETURA</v>
      </c>
      <c r="H12" s="53"/>
    </row>
    <row r="13" spans="1:8" s="44" customFormat="1">
      <c r="A13" s="49" t="str">
        <f>'Materiais de reposição'!A10</f>
        <v>2.7</v>
      </c>
      <c r="B13" s="50" t="str">
        <f>'Materiais de reposição'!C10</f>
        <v>Torneira cromada curta sem arejador ½” para jardim</v>
      </c>
      <c r="C13" s="51" t="str">
        <f>'Materiais de reposição'!E10</f>
        <v>unid</v>
      </c>
      <c r="D13" s="51">
        <f>'Materiais de reposição'!D10</f>
        <v>5</v>
      </c>
      <c r="E13" s="496">
        <f>'Materiais de reposição'!F10</f>
        <v>48.47</v>
      </c>
      <c r="F13" s="496">
        <f>'Materiais de reposição'!G10</f>
        <v>242.35</v>
      </c>
      <c r="G13" s="506" t="str">
        <f>'Materiais de reposição'!H10</f>
        <v>ARQUITETURA</v>
      </c>
      <c r="H13" s="53"/>
    </row>
    <row r="14" spans="1:8" s="44" customFormat="1">
      <c r="A14" s="49" t="str">
        <f>'Materiais de reposição'!A11</f>
        <v>2.8</v>
      </c>
      <c r="B14" s="50" t="str">
        <f>'Materiais de reposição'!C11</f>
        <v>Torneira para tanque de parede Ref: Deca MAX 1153.C34</v>
      </c>
      <c r="C14" s="51" t="str">
        <f>'Materiais de reposição'!E11</f>
        <v>unid</v>
      </c>
      <c r="D14" s="51">
        <f>'Materiais de reposição'!D11</f>
        <v>2</v>
      </c>
      <c r="E14" s="496">
        <f>'Materiais de reposição'!F11</f>
        <v>153.52000000000001</v>
      </c>
      <c r="F14" s="496">
        <f>'Materiais de reposição'!G11</f>
        <v>307.04000000000002</v>
      </c>
      <c r="G14" s="506" t="str">
        <f>'Materiais de reposição'!H11</f>
        <v>ARQUITETURA</v>
      </c>
      <c r="H14" s="53"/>
    </row>
    <row r="15" spans="1:8" s="44" customFormat="1" ht="25.5">
      <c r="A15" s="49" t="str">
        <f>'Materiais de reposição'!A12</f>
        <v>2.9</v>
      </c>
      <c r="B15" s="50" t="str">
        <f>'Materiais de reposição'!C12</f>
        <v xml:space="preserve">Torneira copa e cozinha - DE MESA/BANCADA, PARA COZINHA, BICA MOVEL, COM AREJADOR, 1/2 " OU 3/4 </v>
      </c>
      <c r="C15" s="51" t="str">
        <f>'Materiais de reposição'!E12</f>
        <v>unid</v>
      </c>
      <c r="D15" s="51">
        <f>'Materiais de reposição'!D12</f>
        <v>2</v>
      </c>
      <c r="E15" s="496">
        <f>'Materiais de reposição'!F12</f>
        <v>102.52</v>
      </c>
      <c r="F15" s="496">
        <f>'Materiais de reposição'!G12</f>
        <v>205.04</v>
      </c>
      <c r="G15" s="506" t="str">
        <f>'Materiais de reposição'!H12</f>
        <v>ARQUITETURA</v>
      </c>
      <c r="H15" s="53"/>
    </row>
    <row r="16" spans="1:8" s="44" customFormat="1">
      <c r="A16" s="49" t="str">
        <f>'Materiais de reposição'!A13</f>
        <v>2.10</v>
      </c>
      <c r="B16" s="50" t="str">
        <f>'Materiais de reposição'!C13</f>
        <v>SIFAO EM METAL CROMADO PARA PIA OU LAVATORIO, 1 X 1.1/2</v>
      </c>
      <c r="C16" s="51" t="str">
        <f>'Materiais de reposição'!E13</f>
        <v>unid</v>
      </c>
      <c r="D16" s="51">
        <f>'Materiais de reposição'!D13</f>
        <v>3</v>
      </c>
      <c r="E16" s="496">
        <f>'Materiais de reposição'!F13</f>
        <v>148.27000000000001</v>
      </c>
      <c r="F16" s="496">
        <f>'Materiais de reposição'!G13</f>
        <v>444.81000000000006</v>
      </c>
      <c r="G16" s="506" t="str">
        <f>'Materiais de reposição'!H13</f>
        <v>ARQUITETURA</v>
      </c>
      <c r="H16" s="53"/>
    </row>
    <row r="17" spans="1:8" s="44" customFormat="1">
      <c r="A17" s="49" t="str">
        <f>'Materiais de reposição'!A14</f>
        <v>2.11</v>
      </c>
      <c r="B17" s="50" t="str">
        <f>'Materiais de reposição'!C14</f>
        <v>SIFAO EM METAL CROMADO PARA TANQUE, 1.1/4 X 1.1/2</v>
      </c>
      <c r="C17" s="51" t="str">
        <f>'Materiais de reposição'!E14</f>
        <v>unid</v>
      </c>
      <c r="D17" s="51">
        <f>'Materiais de reposição'!D14</f>
        <v>2</v>
      </c>
      <c r="E17" s="496">
        <f>'Materiais de reposição'!F14</f>
        <v>157.03</v>
      </c>
      <c r="F17" s="496">
        <f>'Materiais de reposição'!G14</f>
        <v>314.06</v>
      </c>
      <c r="G17" s="506" t="str">
        <f>'Materiais de reposição'!H14</f>
        <v>ARQUITETURA</v>
      </c>
      <c r="H17" s="53"/>
    </row>
    <row r="18" spans="1:8" s="44" customFormat="1" ht="25.5">
      <c r="A18" s="49" t="str">
        <f>'Materiais de reposição'!A15</f>
        <v>2.12</v>
      </c>
      <c r="B18" s="50" t="str">
        <f>'Materiais de reposição'!C15</f>
        <v>Mola hidráulica aérea para instalação em portas de madeira. Ref: Mola modelo MA 200, marca Dorma.</v>
      </c>
      <c r="C18" s="51" t="str">
        <f>'Materiais de reposição'!E15</f>
        <v>unid</v>
      </c>
      <c r="D18" s="51">
        <f>'Materiais de reposição'!D15</f>
        <v>4</v>
      </c>
      <c r="E18" s="496">
        <f>'Materiais de reposição'!F15</f>
        <v>177.86</v>
      </c>
      <c r="F18" s="496">
        <f>'Materiais de reposição'!G15</f>
        <v>711.44</v>
      </c>
      <c r="G18" s="506" t="str">
        <f>'Materiais de reposição'!H15</f>
        <v>ARQUITETURA</v>
      </c>
      <c r="H18" s="53"/>
    </row>
    <row r="19" spans="1:8" s="44" customFormat="1">
      <c r="A19" s="49" t="str">
        <f>'Materiais de reposição'!A16</f>
        <v>2.13</v>
      </c>
      <c r="B19" s="50" t="str">
        <f>'Materiais de reposição'!C16</f>
        <v>Placa de carpete 60x60 instalada em fibra 100%  nylon , fio bouclê, na cor padrão do plenario</v>
      </c>
      <c r="C19" s="51" t="str">
        <f>'Materiais de reposição'!E16</f>
        <v>m²</v>
      </c>
      <c r="D19" s="51">
        <f>'Materiais de reposição'!D16</f>
        <v>5</v>
      </c>
      <c r="E19" s="496">
        <f>'Materiais de reposição'!F16</f>
        <v>200.72</v>
      </c>
      <c r="F19" s="496">
        <f>'Materiais de reposição'!G16</f>
        <v>1003.6</v>
      </c>
      <c r="G19" s="506" t="str">
        <f>'Materiais de reposição'!H16</f>
        <v>ARQUITETURA</v>
      </c>
      <c r="H19" s="53"/>
    </row>
    <row r="20" spans="1:8" s="44" customFormat="1">
      <c r="A20" s="49" t="str">
        <f>'Materiais de reposição'!A17</f>
        <v>2.14</v>
      </c>
      <c r="B20" s="50" t="str">
        <f>'Materiais de reposição'!C17</f>
        <v>Caixa de comando Deca 1180 para torneiras automaticas de banheiro</v>
      </c>
      <c r="C20" s="51" t="str">
        <f>'Materiais de reposição'!E17</f>
        <v>unid</v>
      </c>
      <c r="D20" s="51">
        <f>'Materiais de reposição'!D17</f>
        <v>4</v>
      </c>
      <c r="E20" s="496">
        <f>'Materiais de reposição'!F17</f>
        <v>1285.71</v>
      </c>
      <c r="F20" s="496">
        <f>'Materiais de reposição'!G17</f>
        <v>5142.84</v>
      </c>
      <c r="G20" s="506" t="str">
        <f>'Materiais de reposição'!H17</f>
        <v>ARQUITETURA</v>
      </c>
      <c r="H20" s="53"/>
    </row>
    <row r="21" spans="1:8" s="44" customFormat="1">
      <c r="A21" s="49" t="str">
        <f>'Materiais de reposição'!A18</f>
        <v>2.15</v>
      </c>
      <c r="B21" s="50" t="str">
        <f>'Materiais de reposição'!C18</f>
        <v>Sensor para torneira automatica de banheiro Deca 1180 com canopla</v>
      </c>
      <c r="C21" s="51" t="str">
        <f>'Materiais de reposição'!E18</f>
        <v>unid</v>
      </c>
      <c r="D21" s="51">
        <f>'Materiais de reposição'!D18</f>
        <v>4</v>
      </c>
      <c r="E21" s="496">
        <f>'Materiais de reposição'!F18</f>
        <v>280.03999999999996</v>
      </c>
      <c r="F21" s="496">
        <f>'Materiais de reposição'!G18</f>
        <v>1120.1599999999999</v>
      </c>
      <c r="G21" s="506" t="str">
        <f>'Materiais de reposição'!H18</f>
        <v>ARQUITETURA</v>
      </c>
      <c r="H21" s="53"/>
    </row>
    <row r="22" spans="1:8" s="44" customFormat="1">
      <c r="A22" s="49" t="str">
        <f>'Materiais de reposição'!A19</f>
        <v>2.16</v>
      </c>
      <c r="B22" s="50" t="str">
        <f>'Materiais de reposição'!C19</f>
        <v xml:space="preserve">Válvula solenoide c/ rosca 3/4 </v>
      </c>
      <c r="C22" s="51" t="str">
        <f>'Materiais de reposição'!E19</f>
        <v>unid</v>
      </c>
      <c r="D22" s="51">
        <f>'Materiais de reposição'!D19</f>
        <v>4</v>
      </c>
      <c r="E22" s="496">
        <f>'Materiais de reposição'!F19</f>
        <v>207.63333333333333</v>
      </c>
      <c r="F22" s="496">
        <f>'Materiais de reposição'!G19</f>
        <v>830.5333333333333</v>
      </c>
      <c r="G22" s="506" t="str">
        <f>'Materiais de reposição'!H19</f>
        <v>ARQUITETURA</v>
      </c>
      <c r="H22" s="53"/>
    </row>
    <row r="23" spans="1:8" s="44" customFormat="1">
      <c r="A23" s="49" t="str">
        <f>'Materiais de reposição'!A20</f>
        <v>2.17</v>
      </c>
      <c r="B23" s="50" t="str">
        <f>'Materiais de reposição'!C20</f>
        <v>Caixa de comando caixa/sensor para mictório 2580 Deca</v>
      </c>
      <c r="C23" s="51" t="str">
        <f>'Materiais de reposição'!E20</f>
        <v>unid</v>
      </c>
      <c r="D23" s="51">
        <f>'Materiais de reposição'!D20</f>
        <v>4</v>
      </c>
      <c r="E23" s="496">
        <f>'Materiais de reposição'!F20</f>
        <v>1603.4850000000001</v>
      </c>
      <c r="F23" s="496">
        <f>'Materiais de reposição'!G20</f>
        <v>6413.9400000000005</v>
      </c>
      <c r="G23" s="506" t="str">
        <f>'Materiais de reposição'!H20</f>
        <v>ARQUITETURA</v>
      </c>
      <c r="H23" s="53"/>
    </row>
    <row r="24" spans="1:8" s="44" customFormat="1">
      <c r="A24" s="49" t="str">
        <f>'Materiais de reposição'!A21</f>
        <v>2.18</v>
      </c>
      <c r="B24" s="50" t="str">
        <f>'Materiais de reposição'!C21</f>
        <v>Silicone de uso geral 280g</v>
      </c>
      <c r="C24" s="51" t="str">
        <f>'Materiais de reposição'!E21</f>
        <v>unid</v>
      </c>
      <c r="D24" s="51">
        <f>'Materiais de reposição'!D21</f>
        <v>5</v>
      </c>
      <c r="E24" s="496">
        <f>'Materiais de reposição'!F21</f>
        <v>24.91</v>
      </c>
      <c r="F24" s="496">
        <f>'Materiais de reposição'!G21</f>
        <v>124.55</v>
      </c>
      <c r="G24" s="506" t="str">
        <f>'Materiais de reposição'!H21</f>
        <v>ARQUITETURA</v>
      </c>
      <c r="H24" s="53"/>
    </row>
    <row r="25" spans="1:8" s="44" customFormat="1">
      <c r="A25" s="49" t="str">
        <f>'Materiais de reposição'!A22</f>
        <v>2.19</v>
      </c>
      <c r="B25" s="50" t="str">
        <f>'Materiais de reposição'!C22</f>
        <v>Piso tátil pinado, em ABS revestido de inox, 100pç por metro</v>
      </c>
      <c r="C25" s="51" t="str">
        <f>'Materiais de reposição'!E22</f>
        <v>m</v>
      </c>
      <c r="D25" s="51">
        <f>'Materiais de reposição'!D22</f>
        <v>2</v>
      </c>
      <c r="E25" s="496">
        <f>'Materiais de reposição'!F22</f>
        <v>120.75</v>
      </c>
      <c r="F25" s="496">
        <f>'Materiais de reposição'!G22</f>
        <v>241.5</v>
      </c>
      <c r="G25" s="506" t="str">
        <f>'Materiais de reposição'!H22</f>
        <v>ARQUITETURA</v>
      </c>
      <c r="H25" s="53"/>
    </row>
    <row r="26" spans="1:8" s="44" customFormat="1" ht="25.5">
      <c r="A26" s="49" t="str">
        <f>'Materiais de reposição'!A23</f>
        <v>2.20</v>
      </c>
      <c r="B26" s="50" t="str">
        <f>'Materiais de reposição'!C23</f>
        <v>Conjunto de Fechadura cromada para porta interna de madeira, no padrão da existente, Lafonte ref 515</v>
      </c>
      <c r="C26" s="51" t="str">
        <f>'Materiais de reposição'!E23</f>
        <v>unid</v>
      </c>
      <c r="D26" s="51">
        <f>'Materiais de reposição'!D23</f>
        <v>3</v>
      </c>
      <c r="E26" s="496">
        <f>'Materiais de reposição'!F23</f>
        <v>455.66199999999998</v>
      </c>
      <c r="F26" s="496">
        <f>'Materiais de reposição'!G23</f>
        <v>1366.9859999999999</v>
      </c>
      <c r="G26" s="506" t="str">
        <f>'Materiais de reposição'!H23</f>
        <v>ARQUITETURA</v>
      </c>
      <c r="H26" s="53"/>
    </row>
    <row r="27" spans="1:8" s="44" customFormat="1">
      <c r="A27" s="49" t="str">
        <f>'Materiais de reposição'!A24</f>
        <v>2.21</v>
      </c>
      <c r="B27" s="50" t="str">
        <f>'Materiais de reposição'!C24</f>
        <v>Conjunto de Fechadura de porta de madeira preta ref La fonte 6521</v>
      </c>
      <c r="C27" s="51" t="str">
        <f>'Materiais de reposição'!E24</f>
        <v>unid</v>
      </c>
      <c r="D27" s="51">
        <f>'Materiais de reposição'!D24</f>
        <v>8</v>
      </c>
      <c r="E27" s="496">
        <f>'Materiais de reposição'!F24</f>
        <v>122.78</v>
      </c>
      <c r="F27" s="496">
        <f>'Materiais de reposição'!G24</f>
        <v>982.24</v>
      </c>
      <c r="G27" s="506" t="str">
        <f>'Materiais de reposição'!H24</f>
        <v>ARQUITETURA</v>
      </c>
      <c r="H27" s="53"/>
    </row>
    <row r="28" spans="1:8" s="44" customFormat="1">
      <c r="A28" s="49" t="str">
        <f>'Materiais de reposição'!A25</f>
        <v>2.22</v>
      </c>
      <c r="B28" s="50" t="str">
        <f>'Materiais de reposição'!C25</f>
        <v>PLACA DE FIBRA MINERAL PARA FORRO, DE 625 X 625 MM, E = 15 MM</v>
      </c>
      <c r="C28" s="51" t="str">
        <f>'Materiais de reposição'!E25</f>
        <v>unid</v>
      </c>
      <c r="D28" s="51">
        <f>'Materiais de reposição'!D25</f>
        <v>10</v>
      </c>
      <c r="E28" s="496">
        <f>'Materiais de reposição'!F25</f>
        <v>52.64</v>
      </c>
      <c r="F28" s="496">
        <f>'Materiais de reposição'!G25</f>
        <v>526.4</v>
      </c>
      <c r="G28" s="506" t="str">
        <f>'Materiais de reposição'!H25</f>
        <v>ARQUITETURA</v>
      </c>
      <c r="H28" s="53"/>
    </row>
    <row r="29" spans="1:8" s="44" customFormat="1">
      <c r="A29" s="49" t="str">
        <f>'Materiais de reposição'!A26</f>
        <v>2.23</v>
      </c>
      <c r="B29" s="50" t="str">
        <f>'Materiais de reposição'!C26</f>
        <v>Engate flexivel inox 1/2 x 40cm</v>
      </c>
      <c r="C29" s="51" t="str">
        <f>'Materiais de reposição'!E26</f>
        <v>unid</v>
      </c>
      <c r="D29" s="51">
        <f>'Materiais de reposição'!D26</f>
        <v>2</v>
      </c>
      <c r="E29" s="496">
        <f>'Materiais de reposição'!F26</f>
        <v>37.21</v>
      </c>
      <c r="F29" s="496">
        <f>'Materiais de reposição'!G26</f>
        <v>74.42</v>
      </c>
      <c r="G29" s="506" t="str">
        <f>'Materiais de reposição'!H26</f>
        <v>HIDRAULICA</v>
      </c>
      <c r="H29" s="53"/>
    </row>
    <row r="30" spans="1:8" s="44" customFormat="1" ht="38.25">
      <c r="A30" s="49" t="str">
        <f>'Materiais de reposição'!A27</f>
        <v>2.24</v>
      </c>
      <c r="B30" s="50" t="str">
        <f>'Materiais de reposição'!C27</f>
        <v>BOMBAS RECALQUE - Ref: Dancor S.A. - Modelo: 10110630 630 T JM - Mod: PB 100 L2/NM – 5CV,  Norma - Nema MG1-18.614 - JM, Rotação: 2 polos - 3.450 rpm - 60 Hz, Trifásico: 220/380V, IP 55, isolamento classe B (ou similar)</v>
      </c>
      <c r="C30" s="51" t="str">
        <f>'Materiais de reposição'!E27</f>
        <v>unid</v>
      </c>
      <c r="D30" s="51">
        <f>'Materiais de reposição'!D27</f>
        <v>1</v>
      </c>
      <c r="E30" s="496">
        <f>'Materiais de reposição'!F27</f>
        <v>4458.083333333333</v>
      </c>
      <c r="F30" s="496">
        <f>'Materiais de reposição'!G27</f>
        <v>4458.083333333333</v>
      </c>
      <c r="G30" s="506" t="str">
        <f>'Materiais de reposição'!H27</f>
        <v>HIDRAULICA</v>
      </c>
      <c r="H30" s="53"/>
    </row>
    <row r="31" spans="1:8" s="44" customFormat="1" ht="38.25">
      <c r="A31" s="49" t="str">
        <f>'Materiais de reposição'!A28</f>
        <v>2.25</v>
      </c>
      <c r="B31" s="50" t="str">
        <f>'Materiais de reposição'!C28</f>
        <v>BOMBA PRESSURIZAÇÃO - Fabricante: Schneider Motobombas - BCR – 2000V 1CV mono 60Hz 220V - 3450rpm, Motor elétrico: IP-00 com capa de proteção, termostato e capacitor permanente, 2 Polos, 60 Hz - ou similar</v>
      </c>
      <c r="C31" s="51" t="str">
        <f>'Materiais de reposição'!E28</f>
        <v>unid</v>
      </c>
      <c r="D31" s="51">
        <f>'Materiais de reposição'!D28</f>
        <v>1</v>
      </c>
      <c r="E31" s="496">
        <f>'Materiais de reposição'!F28</f>
        <v>709.7600000000001</v>
      </c>
      <c r="F31" s="496">
        <f>'Materiais de reposição'!G28</f>
        <v>709.7600000000001</v>
      </c>
      <c r="G31" s="506" t="str">
        <f>'Materiais de reposição'!H28</f>
        <v>HIDRAULICA</v>
      </c>
      <c r="H31" s="53"/>
    </row>
    <row r="32" spans="1:8" s="44" customFormat="1">
      <c r="A32" s="49" t="str">
        <f>'Materiais de reposição'!A29</f>
        <v>2.26</v>
      </c>
      <c r="B32" s="50" t="str">
        <f>'Materiais de reposição'!C29</f>
        <v>BOMBA CASCATA - Fabricante: Jacuzzi do Brasil - Modelo: 3DM1-T – 3CV - ou similar</v>
      </c>
      <c r="C32" s="51" t="str">
        <f>'Materiais de reposição'!E29</f>
        <v>unid</v>
      </c>
      <c r="D32" s="51">
        <f>'Materiais de reposição'!D29</f>
        <v>1</v>
      </c>
      <c r="E32" s="496">
        <f>'Materiais de reposição'!F29</f>
        <v>2161.4733333333334</v>
      </c>
      <c r="F32" s="496">
        <f>'Materiais de reposição'!G29</f>
        <v>2161.4733333333334</v>
      </c>
      <c r="G32" s="506" t="str">
        <f>'Materiais de reposição'!H29</f>
        <v>HIDRAULICA</v>
      </c>
      <c r="H32" s="53"/>
    </row>
    <row r="33" spans="1:8" s="44" customFormat="1" ht="25.5">
      <c r="A33" s="49" t="str">
        <f>'Materiais de reposição'!A30</f>
        <v>2.27</v>
      </c>
      <c r="B33" s="50" t="str">
        <f>'Materiais de reposição'!C30</f>
        <v>BOMBA FILTRO CASCATA - Fabricante: WEG - Bomba com pré filtro série APP - 1/2CV – 3470rpm – 60Hz, 2 polos – isolamento: F IP 21 - ou simlar</v>
      </c>
      <c r="C33" s="51" t="str">
        <f>'Materiais de reposição'!E30</f>
        <v>unid</v>
      </c>
      <c r="D33" s="51">
        <f>'Materiais de reposição'!D30</f>
        <v>1</v>
      </c>
      <c r="E33" s="496">
        <f>'Materiais de reposição'!F30</f>
        <v>1203.1399999999999</v>
      </c>
      <c r="F33" s="496">
        <f>'Materiais de reposição'!G30</f>
        <v>1203.1399999999999</v>
      </c>
      <c r="G33" s="506" t="str">
        <f>'Materiais de reposição'!H30</f>
        <v>HIDRAULICA</v>
      </c>
      <c r="H33" s="53"/>
    </row>
    <row r="34" spans="1:8" s="44" customFormat="1" ht="25.5">
      <c r="A34" s="49" t="str">
        <f>'Materiais de reposição'!A31</f>
        <v>2.28</v>
      </c>
      <c r="B34" s="50" t="str">
        <f>'Materiais de reposição'!C31</f>
        <v>BOMBA PARA ESGOTAMENTO DE POÇO DE ESGOTO. Referência: WEG jacaré 220/380V, 3CV, robusta- ou similar</v>
      </c>
      <c r="C34" s="51" t="str">
        <f>'Materiais de reposição'!E31</f>
        <v>unid</v>
      </c>
      <c r="D34" s="51">
        <f>'Materiais de reposição'!D31</f>
        <v>1</v>
      </c>
      <c r="E34" s="496">
        <f>'Materiais de reposição'!F31</f>
        <v>7129.8266666666677</v>
      </c>
      <c r="F34" s="496">
        <f>'Materiais de reposição'!G31</f>
        <v>7129.8266666666677</v>
      </c>
      <c r="G34" s="506" t="str">
        <f>'Materiais de reposição'!H31</f>
        <v>HIDRAULICA</v>
      </c>
      <c r="H34" s="53"/>
    </row>
    <row r="35" spans="1:8" s="44" customFormat="1" ht="38.25">
      <c r="A35" s="49" t="str">
        <f>'Materiais de reposição'!A32</f>
        <v>2.29</v>
      </c>
      <c r="B35" s="50" t="str">
        <f>'Materiais de reposição'!C32</f>
        <v>Bomba de esgotamento de poço de aguas pluviais, tipo sub dreno (SDE) 3hp, monobloco, vertical, carcaça com ralo de aspiração incorporado, motor com 2 polos, 3450rpm. Ref: Dancor 2303 - ou similar</v>
      </c>
      <c r="C35" s="51" t="str">
        <f>'Materiais de reposição'!E32</f>
        <v>unid</v>
      </c>
      <c r="D35" s="51">
        <f>'Materiais de reposição'!D32</f>
        <v>1</v>
      </c>
      <c r="E35" s="496">
        <f>'Materiais de reposição'!F32</f>
        <v>4745.3900000000003</v>
      </c>
      <c r="F35" s="496">
        <f>'Materiais de reposição'!G32</f>
        <v>4745.3900000000003</v>
      </c>
      <c r="G35" s="506" t="str">
        <f>'Materiais de reposição'!H32</f>
        <v>HIDRAULICA</v>
      </c>
      <c r="H35" s="53"/>
    </row>
    <row r="36" spans="1:8" s="44" customFormat="1">
      <c r="A36" s="49" t="str">
        <f>'Materiais de reposição'!A33</f>
        <v>2.30</v>
      </c>
      <c r="B36" s="50" t="str">
        <f>'Materiais de reposição'!C33</f>
        <v>Botao de acionamento manual caixa acoplada Deca branco</v>
      </c>
      <c r="C36" s="51" t="str">
        <f>'Materiais de reposição'!E33</f>
        <v>unid</v>
      </c>
      <c r="D36" s="51">
        <f>'Materiais de reposição'!D33</f>
        <v>5</v>
      </c>
      <c r="E36" s="496">
        <f>'Materiais de reposição'!F33</f>
        <v>37</v>
      </c>
      <c r="F36" s="496">
        <f>'Materiais de reposição'!G33</f>
        <v>185</v>
      </c>
      <c r="G36" s="506" t="str">
        <f>'Materiais de reposição'!H33</f>
        <v>HIDRAULICA</v>
      </c>
      <c r="H36" s="53"/>
    </row>
    <row r="37" spans="1:8" s="44" customFormat="1" ht="25.5">
      <c r="A37" s="49" t="str">
        <f>'Materiais de reposição'!A34</f>
        <v>2.31</v>
      </c>
      <c r="B37" s="50" t="str">
        <f>'Materiais de reposição'!C34</f>
        <v>TAMPAO FOFO SIMPLES COM BASE, CLASSE A15 CARGA MAX 1,5 T, 400 X 600 MM (COM INSCRICAO EM RELEVO DO TIPO DE REDE)</v>
      </c>
      <c r="C37" s="51" t="str">
        <f>'Materiais de reposição'!E34</f>
        <v>unid</v>
      </c>
      <c r="D37" s="51">
        <f>'Materiais de reposição'!D34</f>
        <v>10</v>
      </c>
      <c r="E37" s="496">
        <f>'Materiais de reposição'!F34</f>
        <v>321.63</v>
      </c>
      <c r="F37" s="496">
        <f>'Materiais de reposição'!G34</f>
        <v>3216.3</v>
      </c>
      <c r="G37" s="506" t="str">
        <f>'Materiais de reposição'!H34</f>
        <v>HIDRAULICA</v>
      </c>
      <c r="H37" s="53"/>
    </row>
    <row r="38" spans="1:8" s="44" customFormat="1">
      <c r="A38" s="49" t="str">
        <f>'Materiais de reposição'!A35</f>
        <v>2.32</v>
      </c>
      <c r="B38" s="50" t="str">
        <f>'Materiais de reposição'!C35</f>
        <v>Mangueira 1 ½” 15m tipo 2</v>
      </c>
      <c r="C38" s="51" t="str">
        <f>'Materiais de reposição'!E35</f>
        <v>unid</v>
      </c>
      <c r="D38" s="51">
        <f>'Materiais de reposição'!D35</f>
        <v>5</v>
      </c>
      <c r="E38" s="496">
        <f>'Materiais de reposição'!F35</f>
        <v>436.65</v>
      </c>
      <c r="F38" s="496">
        <f>'Materiais de reposição'!G35</f>
        <v>2183.25</v>
      </c>
      <c r="G38" s="506" t="str">
        <f>'Materiais de reposição'!H35</f>
        <v>INCÊNDIO</v>
      </c>
      <c r="H38" s="53"/>
    </row>
    <row r="39" spans="1:8" s="44" customFormat="1">
      <c r="A39" s="49" t="str">
        <f>'Materiais de reposição'!A36</f>
        <v>2.33</v>
      </c>
      <c r="B39" s="50" t="str">
        <f>'Materiais de reposição'!C36</f>
        <v>Registro de gaveta bruto 2 1/2".</v>
      </c>
      <c r="C39" s="51" t="str">
        <f>'Materiais de reposição'!E36</f>
        <v>unid</v>
      </c>
      <c r="D39" s="51">
        <f>'Materiais de reposição'!D36</f>
        <v>2</v>
      </c>
      <c r="E39" s="496">
        <f>'Materiais de reposição'!F36</f>
        <v>305.18</v>
      </c>
      <c r="F39" s="496">
        <f>'Materiais de reposição'!G36</f>
        <v>610.36</v>
      </c>
      <c r="G39" s="506" t="str">
        <f>'Materiais de reposição'!H36</f>
        <v>INCÊNDIO</v>
      </c>
      <c r="H39" s="53"/>
    </row>
    <row r="40" spans="1:8" s="44" customFormat="1" ht="25.5">
      <c r="A40" s="49" t="str">
        <f>'Materiais de reposição'!A37</f>
        <v>2.34</v>
      </c>
      <c r="B40" s="50" t="str">
        <f>'Materiais de reposição'!C37</f>
        <v>Esguicho de neblina regulável, confeccionado em bronze ASTM-B-62. Diâmetro 1 1/2". Dotado de 3 posições: fechado, jato sólido e neblina fina</v>
      </c>
      <c r="C40" s="51" t="str">
        <f>'Materiais de reposição'!E37</f>
        <v>unid</v>
      </c>
      <c r="D40" s="51">
        <f>'Materiais de reposição'!D37</f>
        <v>1</v>
      </c>
      <c r="E40" s="496">
        <f>'Materiais de reposição'!F37</f>
        <v>211.38</v>
      </c>
      <c r="F40" s="496">
        <f>'Materiais de reposição'!G37</f>
        <v>211.38</v>
      </c>
      <c r="G40" s="506" t="str">
        <f>'Materiais de reposição'!H37</f>
        <v>INCÊNDIO</v>
      </c>
      <c r="H40" s="53"/>
    </row>
    <row r="41" spans="1:8" s="44" customFormat="1">
      <c r="A41" s="49" t="str">
        <f>'Materiais de reposição'!A38</f>
        <v>2.35</v>
      </c>
      <c r="B41" s="50" t="str">
        <f>'Materiais de reposição'!C38</f>
        <v>Bicos de Sprinkler Ø 1/2", temp. 68ºC, tipo tubo molhado, conforme padrão existente no edifício</v>
      </c>
      <c r="C41" s="51" t="str">
        <f>'Materiais de reposição'!E38</f>
        <v>unid</v>
      </c>
      <c r="D41" s="51">
        <f>'Materiais de reposição'!D38</f>
        <v>5</v>
      </c>
      <c r="E41" s="496">
        <f>'Materiais de reposição'!F38</f>
        <v>35.770000000000003</v>
      </c>
      <c r="F41" s="496">
        <f>'Materiais de reposição'!G38</f>
        <v>178.85000000000002</v>
      </c>
      <c r="G41" s="506" t="str">
        <f>'Materiais de reposição'!H38</f>
        <v>INCÊNDIO</v>
      </c>
      <c r="H41" s="53"/>
    </row>
    <row r="42" spans="1:8" s="44" customFormat="1">
      <c r="A42" s="49" t="str">
        <f>'Materiais de reposição'!A39</f>
        <v>2.36</v>
      </c>
      <c r="B42" s="50" t="str">
        <f>'Materiais de reposição'!C39</f>
        <v>Dobradiça porta corta fogo  no padrão das atuais</v>
      </c>
      <c r="C42" s="51" t="str">
        <f>'Materiais de reposição'!E39</f>
        <v>unid</v>
      </c>
      <c r="D42" s="51">
        <f>'Materiais de reposição'!D39</f>
        <v>9</v>
      </c>
      <c r="E42" s="496">
        <f>'Materiais de reposição'!F39</f>
        <v>70.430000000000007</v>
      </c>
      <c r="F42" s="496">
        <f>'Materiais de reposição'!G39</f>
        <v>633.87000000000012</v>
      </c>
      <c r="G42" s="506" t="str">
        <f>'Materiais de reposição'!H39</f>
        <v>INCÊNDIO</v>
      </c>
      <c r="H42" s="53"/>
    </row>
    <row r="43" spans="1:8" s="44" customFormat="1">
      <c r="A43" s="49" t="str">
        <f>'Materiais de reposição'!A40</f>
        <v>2.37</v>
      </c>
      <c r="B43" s="50" t="str">
        <f>'Materiais de reposição'!C40</f>
        <v>Lâmpada LED bulbo 10W bivolt E27 branca 6000k</v>
      </c>
      <c r="C43" s="51" t="str">
        <f>'Materiais de reposição'!E40</f>
        <v>unid</v>
      </c>
      <c r="D43" s="51">
        <f>'Materiais de reposição'!D40</f>
        <v>150</v>
      </c>
      <c r="E43" s="496">
        <f>'Materiais de reposição'!F40</f>
        <v>6.8880000000000008</v>
      </c>
      <c r="F43" s="496">
        <f>'Materiais de reposição'!G40</f>
        <v>1033.2</v>
      </c>
      <c r="G43" s="506" t="str">
        <f>'Materiais de reposição'!H40</f>
        <v>ELETRICA</v>
      </c>
      <c r="H43" s="53"/>
    </row>
    <row r="44" spans="1:8" s="44" customFormat="1">
      <c r="A44" s="49" t="str">
        <f>'Materiais de reposição'!A41</f>
        <v>2.38</v>
      </c>
      <c r="B44" s="50" t="str">
        <f>'Materiais de reposição'!C41</f>
        <v>Lâmpadas tubular led T5 18w 6500k 1200mm – Base G-13</v>
      </c>
      <c r="C44" s="51" t="str">
        <f>'Materiais de reposição'!E41</f>
        <v>unid</v>
      </c>
      <c r="D44" s="51">
        <f>'Materiais de reposição'!D41</f>
        <v>50</v>
      </c>
      <c r="E44" s="496">
        <f>'Materiais de reposição'!F41</f>
        <v>30.466666666666665</v>
      </c>
      <c r="F44" s="496">
        <f>'Materiais de reposição'!G41</f>
        <v>1523.3333333333333</v>
      </c>
      <c r="G44" s="506" t="str">
        <f>'Materiais de reposição'!H41</f>
        <v>ELETRICA</v>
      </c>
      <c r="H44" s="53"/>
    </row>
    <row r="45" spans="1:8" s="44" customFormat="1">
      <c r="A45" s="49" t="str">
        <f>'Materiais de reposição'!A42</f>
        <v>2.39</v>
      </c>
      <c r="B45" s="50" t="str">
        <f>'Materiais de reposição'!C42</f>
        <v>Superled ar-111 85-265v 11w refletora gu-10 6500k - base gu-10</v>
      </c>
      <c r="C45" s="51" t="str">
        <f>'Materiais de reposição'!E42</f>
        <v>unid</v>
      </c>
      <c r="D45" s="51">
        <f>'Materiais de reposição'!D42</f>
        <v>50</v>
      </c>
      <c r="E45" s="496">
        <f>'Materiais de reposição'!F42</f>
        <v>77.825000000000003</v>
      </c>
      <c r="F45" s="496">
        <f>'Materiais de reposição'!G42</f>
        <v>3891.25</v>
      </c>
      <c r="G45" s="506" t="str">
        <f>'Materiais de reposição'!H42</f>
        <v>ELETRICA</v>
      </c>
      <c r="H45" s="53"/>
    </row>
    <row r="46" spans="1:8" s="44" customFormat="1">
      <c r="A46" s="49" t="str">
        <f>'Materiais de reposição'!A43</f>
        <v>2.40</v>
      </c>
      <c r="B46" s="50" t="str">
        <f>'Materiais de reposição'!C43</f>
        <v>Lâmpada led ar-70 85-265v 7w refletora 6500k – base gu-10</v>
      </c>
      <c r="C46" s="51" t="str">
        <f>'Materiais de reposição'!E43</f>
        <v>unid</v>
      </c>
      <c r="D46" s="51">
        <f>'Materiais de reposição'!D43</f>
        <v>20</v>
      </c>
      <c r="E46" s="496">
        <f>'Materiais de reposição'!F43</f>
        <v>40.89</v>
      </c>
      <c r="F46" s="496">
        <f>'Materiais de reposição'!G43</f>
        <v>817.8</v>
      </c>
      <c r="G46" s="506" t="str">
        <f>'Materiais de reposição'!H43</f>
        <v>ELETRICA</v>
      </c>
      <c r="H46" s="53"/>
    </row>
    <row r="47" spans="1:8" s="44" customFormat="1">
      <c r="A47" s="49" t="str">
        <f>'Materiais de reposição'!A44</f>
        <v>2.41</v>
      </c>
      <c r="B47" s="50" t="str">
        <f>'Materiais de reposição'!C44</f>
        <v>Lâmpada tubular led T8 9,5W 6500K 600MM (UL) – Base G13</v>
      </c>
      <c r="C47" s="51" t="str">
        <f>'Materiais de reposição'!E44</f>
        <v>unid</v>
      </c>
      <c r="D47" s="51">
        <f>'Materiais de reposição'!D44</f>
        <v>100</v>
      </c>
      <c r="E47" s="496">
        <f>'Materiais de reposição'!F44</f>
        <v>18.57</v>
      </c>
      <c r="F47" s="496">
        <f>'Materiais de reposição'!G44</f>
        <v>1857</v>
      </c>
      <c r="G47" s="506" t="str">
        <f>'Materiais de reposição'!H44</f>
        <v>ELETRICA</v>
      </c>
      <c r="H47" s="53"/>
    </row>
    <row r="48" spans="1:8" s="44" customFormat="1">
      <c r="A48" s="49" t="str">
        <f>'Materiais de reposição'!A45</f>
        <v>2.42</v>
      </c>
      <c r="B48" s="50" t="str">
        <f>'Materiais de reposição'!C45</f>
        <v>Lâmpada PAR 20 LED cor branca para uso externo - 220V – equivalência 50W - E27</v>
      </c>
      <c r="C48" s="51" t="str">
        <f>'Materiais de reposição'!E45</f>
        <v>unid</v>
      </c>
      <c r="D48" s="51">
        <f>'Materiais de reposição'!D45</f>
        <v>50</v>
      </c>
      <c r="E48" s="496">
        <f>'Materiais de reposição'!F45</f>
        <v>25.564</v>
      </c>
      <c r="F48" s="496">
        <f>'Materiais de reposição'!G45</f>
        <v>1278.2</v>
      </c>
      <c r="G48" s="506" t="str">
        <f>'Materiais de reposição'!H45</f>
        <v>ELETRICA</v>
      </c>
      <c r="H48" s="53"/>
    </row>
    <row r="49" spans="1:8" s="44" customFormat="1">
      <c r="A49" s="49" t="str">
        <f>'Materiais de reposição'!A46</f>
        <v>2.43</v>
      </c>
      <c r="B49" s="50" t="str">
        <f>'Materiais de reposição'!C46</f>
        <v>Lâmpada Eletrônica espiral 85w x 220v – Base 27</v>
      </c>
      <c r="C49" s="51" t="str">
        <f>'Materiais de reposição'!E46</f>
        <v>unid</v>
      </c>
      <c r="D49" s="51">
        <f>'Materiais de reposição'!D46</f>
        <v>5</v>
      </c>
      <c r="E49" s="496">
        <f>'Materiais de reposição'!F46</f>
        <v>62</v>
      </c>
      <c r="F49" s="496">
        <f>'Materiais de reposição'!G46</f>
        <v>310</v>
      </c>
      <c r="G49" s="506" t="str">
        <f>'Materiais de reposição'!H46</f>
        <v>ELETRICA</v>
      </c>
      <c r="H49" s="53"/>
    </row>
    <row r="50" spans="1:8" s="44" customFormat="1">
      <c r="A50" s="49" t="str">
        <f>'Materiais de reposição'!A47</f>
        <v>2.44</v>
      </c>
      <c r="B50" s="50" t="str">
        <f>'Materiais de reposição'!C47</f>
        <v>Lâmpada led halopin silic g- 9 86-240v 3w 6500k– base g9</v>
      </c>
      <c r="C50" s="51" t="str">
        <f>'Materiais de reposição'!E47</f>
        <v>unid</v>
      </c>
      <c r="D50" s="51">
        <f>'Materiais de reposição'!D47</f>
        <v>10</v>
      </c>
      <c r="E50" s="496">
        <f>'Materiais de reposição'!F47</f>
        <v>26.436666666666667</v>
      </c>
      <c r="F50" s="496">
        <f>'Materiais de reposição'!G47</f>
        <v>264.36666666666667</v>
      </c>
      <c r="G50" s="506" t="str">
        <f>'Materiais de reposição'!H47</f>
        <v>ELETRICA</v>
      </c>
      <c r="H50" s="53"/>
    </row>
    <row r="51" spans="1:8" s="44" customFormat="1">
      <c r="A51" s="49" t="str">
        <f>'Materiais de reposição'!A48</f>
        <v>2.45</v>
      </c>
      <c r="B51" s="50" t="str">
        <f>'Materiais de reposição'!C48</f>
        <v>Lâmpada Tubular Led T8 18W 6500K 1200MM - Base G13 – vida útil de 3000horas – branco frio</v>
      </c>
      <c r="C51" s="51" t="str">
        <f>'Materiais de reposição'!E48</f>
        <v>unid</v>
      </c>
      <c r="D51" s="51">
        <f>'Materiais de reposição'!D48</f>
        <v>300</v>
      </c>
      <c r="E51" s="496">
        <f>'Materiais de reposição'!F48</f>
        <v>13.319999999999999</v>
      </c>
      <c r="F51" s="496">
        <f>'Materiais de reposição'!G48</f>
        <v>3995.9999999999995</v>
      </c>
      <c r="G51" s="506" t="str">
        <f>'Materiais de reposição'!H48</f>
        <v>ELETRICA</v>
      </c>
      <c r="H51" s="53"/>
    </row>
    <row r="52" spans="1:8" s="44" customFormat="1" ht="25.5">
      <c r="A52" s="49" t="str">
        <f>'Materiais de reposição'!A49</f>
        <v>2.46</v>
      </c>
      <c r="B52" s="50" t="str">
        <f>'Materiais de reposição'!C49</f>
        <v>Refletor de embutir série LED POLL L48, com potência equivalente a 4W e baixo consumo de energia. Referência: SODRAMAR</v>
      </c>
      <c r="C52" s="51" t="str">
        <f>'Materiais de reposição'!E49</f>
        <v>unid</v>
      </c>
      <c r="D52" s="51">
        <f>'Materiais de reposição'!D49</f>
        <v>5</v>
      </c>
      <c r="E52" s="496">
        <f>'Materiais de reposição'!F49</f>
        <v>40.580000000000005</v>
      </c>
      <c r="F52" s="496">
        <f>'Materiais de reposição'!G49</f>
        <v>202.90000000000003</v>
      </c>
      <c r="G52" s="506" t="str">
        <f>'Materiais de reposição'!H49</f>
        <v>ELETRICA</v>
      </c>
      <c r="H52" s="53"/>
    </row>
    <row r="53" spans="1:8" s="44" customFormat="1">
      <c r="A53" s="49" t="str">
        <f>'Materiais de reposição'!A50</f>
        <v>2.47</v>
      </c>
      <c r="B53" s="50" t="str">
        <f>'Materiais de reposição'!C50</f>
        <v>PROJETOR SUPERLED 30W 6500K IP-65 SLIM N.L</v>
      </c>
      <c r="C53" s="51" t="str">
        <f>'Materiais de reposição'!E50</f>
        <v>unid</v>
      </c>
      <c r="D53" s="51">
        <f>'Materiais de reposição'!D50</f>
        <v>5</v>
      </c>
      <c r="E53" s="496">
        <f>'Materiais de reposição'!F50</f>
        <v>84.133999999999986</v>
      </c>
      <c r="F53" s="496">
        <f>'Materiais de reposição'!G50</f>
        <v>420.66999999999996</v>
      </c>
      <c r="G53" s="506" t="str">
        <f>'Materiais de reposição'!H50</f>
        <v>ELETRICA</v>
      </c>
      <c r="H53" s="53"/>
    </row>
    <row r="54" spans="1:8" s="44" customFormat="1">
      <c r="A54" s="49" t="str">
        <f>'Materiais de reposição'!A51</f>
        <v>2.48</v>
      </c>
      <c r="B54" s="50" t="str">
        <f>'Materiais de reposição'!C51</f>
        <v>Lâmpada par38 led 15W branca</v>
      </c>
      <c r="C54" s="51" t="str">
        <f>'Materiais de reposição'!E51</f>
        <v>unid</v>
      </c>
      <c r="D54" s="51">
        <f>'Materiais de reposição'!D51</f>
        <v>25</v>
      </c>
      <c r="E54" s="496">
        <f>'Materiais de reposição'!F51</f>
        <v>62.57</v>
      </c>
      <c r="F54" s="496">
        <f>'Materiais de reposição'!G51</f>
        <v>1564.25</v>
      </c>
      <c r="G54" s="506" t="str">
        <f>'Materiais de reposição'!H51</f>
        <v>ELETRICA</v>
      </c>
      <c r="H54" s="53"/>
    </row>
    <row r="55" spans="1:8" s="44" customFormat="1">
      <c r="A55" s="49" t="str">
        <f>'Materiais de reposição'!A52</f>
        <v>2.49</v>
      </c>
      <c r="B55" s="50" t="str">
        <f>'Materiais de reposição'!C52</f>
        <v>Painéis de LED EMB. QD. 60X60 LISO 6000K 24W</v>
      </c>
      <c r="C55" s="51" t="str">
        <f>'Materiais de reposição'!E52</f>
        <v>unid</v>
      </c>
      <c r="D55" s="51">
        <f>'Materiais de reposição'!D52</f>
        <v>5</v>
      </c>
      <c r="E55" s="496">
        <f>'Materiais de reposição'!F52</f>
        <v>258.51749999999998</v>
      </c>
      <c r="F55" s="496">
        <f>'Materiais de reposição'!G52</f>
        <v>1292.5874999999999</v>
      </c>
      <c r="G55" s="506" t="str">
        <f>'Materiais de reposição'!H52</f>
        <v>ELETRICA</v>
      </c>
      <c r="H55" s="53"/>
    </row>
    <row r="56" spans="1:8" s="44" customFormat="1">
      <c r="A56" s="49" t="str">
        <f>'Materiais de reposição'!A53</f>
        <v>2.50</v>
      </c>
      <c r="B56" s="50" t="str">
        <f>'Materiais de reposição'!C53</f>
        <v>Luminária de embutir para jardim par 38 led</v>
      </c>
      <c r="C56" s="51" t="str">
        <f>'Materiais de reposição'!E53</f>
        <v>unid</v>
      </c>
      <c r="D56" s="51">
        <f>'Materiais de reposição'!D53</f>
        <v>5</v>
      </c>
      <c r="E56" s="496">
        <f>'Materiais de reposição'!F53</f>
        <v>214</v>
      </c>
      <c r="F56" s="496">
        <f>'Materiais de reposição'!G53</f>
        <v>1070</v>
      </c>
      <c r="G56" s="506" t="str">
        <f>'Materiais de reposição'!H53</f>
        <v>ELETRICA</v>
      </c>
      <c r="H56" s="53"/>
    </row>
    <row r="57" spans="1:8" s="44" customFormat="1">
      <c r="A57" s="49" t="str">
        <f>'Materiais de reposição'!A54</f>
        <v>2.51</v>
      </c>
      <c r="B57" s="50" t="str">
        <f>'Materiais de reposição'!C54</f>
        <v>Mini balizador para jardim led 1W 3000k bivolt</v>
      </c>
      <c r="C57" s="51" t="str">
        <f>'Materiais de reposição'!E54</f>
        <v>unid</v>
      </c>
      <c r="D57" s="51">
        <f>'Materiais de reposição'!D54</f>
        <v>5</v>
      </c>
      <c r="E57" s="496">
        <f>'Materiais de reposição'!F54</f>
        <v>85.95</v>
      </c>
      <c r="F57" s="496">
        <f>'Materiais de reposição'!G54</f>
        <v>429.75</v>
      </c>
      <c r="G57" s="506" t="str">
        <f>'Materiais de reposição'!H54</f>
        <v>ELETRICA</v>
      </c>
      <c r="H57" s="53"/>
    </row>
    <row r="58" spans="1:8" s="44" customFormat="1">
      <c r="A58" s="49" t="str">
        <f>'Materiais de reposição'!A55</f>
        <v>2.52</v>
      </c>
      <c r="B58" s="50" t="str">
        <f>'Materiais de reposição'!C55</f>
        <v>Sinaleiro duplo 24 leds bivolt para sinalização de entrada e saída de garagem</v>
      </c>
      <c r="C58" s="51" t="str">
        <f>'Materiais de reposição'!E55</f>
        <v>unid</v>
      </c>
      <c r="D58" s="51">
        <f>'Materiais de reposição'!D55</f>
        <v>1</v>
      </c>
      <c r="E58" s="496">
        <f>'Materiais de reposição'!F55</f>
        <v>224.8133333333333</v>
      </c>
      <c r="F58" s="496">
        <f>'Materiais de reposição'!G55</f>
        <v>224.8133333333333</v>
      </c>
      <c r="G58" s="506" t="str">
        <f>'Materiais de reposição'!H55</f>
        <v>ELETRICA</v>
      </c>
      <c r="H58" s="53"/>
    </row>
    <row r="59" spans="1:8" s="44" customFormat="1">
      <c r="A59" s="49" t="str">
        <f>'Materiais de reposição'!A56</f>
        <v>2.53</v>
      </c>
      <c r="B59" s="50" t="str">
        <f>'Materiais de reposição'!C56</f>
        <v>Lâmpada luz mista 250 watts base E27</v>
      </c>
      <c r="C59" s="51" t="str">
        <f>'Materiais de reposição'!E56</f>
        <v>unid</v>
      </c>
      <c r="D59" s="51">
        <f>'Materiais de reposição'!D56</f>
        <v>5</v>
      </c>
      <c r="E59" s="496">
        <f>'Materiais de reposição'!F56</f>
        <v>71.443333333333328</v>
      </c>
      <c r="F59" s="496">
        <f>'Materiais de reposição'!G56</f>
        <v>357.21666666666664</v>
      </c>
      <c r="G59" s="506" t="str">
        <f>'Materiais de reposição'!H56</f>
        <v>ELETRICA</v>
      </c>
      <c r="H59" s="53"/>
    </row>
    <row r="60" spans="1:8" s="44" customFormat="1">
      <c r="A60" s="49" t="str">
        <f>'Materiais de reposição'!A57</f>
        <v>2.54</v>
      </c>
      <c r="B60" s="50" t="str">
        <f>'Materiais de reposição'!C57</f>
        <v xml:space="preserve">Lâmpada dicroica de 50 watts tensâo 220V </v>
      </c>
      <c r="C60" s="51" t="str">
        <f>'Materiais de reposição'!E57</f>
        <v>unid</v>
      </c>
      <c r="D60" s="51">
        <f>'Materiais de reposição'!D57</f>
        <v>5</v>
      </c>
      <c r="E60" s="496">
        <f>'Materiais de reposição'!F57</f>
        <v>21.452500000000001</v>
      </c>
      <c r="F60" s="496">
        <f>'Materiais de reposição'!G57</f>
        <v>107.2625</v>
      </c>
      <c r="G60" s="506" t="str">
        <f>'Materiais de reposição'!H57</f>
        <v>ELETRICA</v>
      </c>
      <c r="H60" s="53"/>
    </row>
    <row r="61" spans="1:8" s="44" customFormat="1">
      <c r="A61" s="49" t="str">
        <f>'Materiais de reposição'!A58</f>
        <v>2.55</v>
      </c>
      <c r="B61" s="50" t="str">
        <f>'Materiais de reposição'!C58</f>
        <v>Lampada incandescente de 40 watts base E27</v>
      </c>
      <c r="C61" s="51" t="str">
        <f>'Materiais de reposição'!E58</f>
        <v>unid</v>
      </c>
      <c r="D61" s="51">
        <f>'Materiais de reposição'!D58</f>
        <v>5</v>
      </c>
      <c r="E61" s="496">
        <f>'Materiais de reposição'!F58</f>
        <v>6.8725000000000005</v>
      </c>
      <c r="F61" s="496">
        <f>'Materiais de reposição'!G58</f>
        <v>34.362500000000004</v>
      </c>
      <c r="G61" s="506" t="str">
        <f>'Materiais de reposição'!H58</f>
        <v>ELETRICA</v>
      </c>
      <c r="H61" s="53"/>
    </row>
    <row r="62" spans="1:8" s="44" customFormat="1">
      <c r="A62" s="49" t="str">
        <f>'Materiais de reposição'!A59</f>
        <v>2.56</v>
      </c>
      <c r="B62" s="50" t="str">
        <f>'Materiais de reposição'!C59</f>
        <v>Lâmpada Halógena 100W base e27</v>
      </c>
      <c r="C62" s="51" t="str">
        <f>'Materiais de reposição'!E59</f>
        <v>unid</v>
      </c>
      <c r="D62" s="51">
        <f>'Materiais de reposição'!D59</f>
        <v>25</v>
      </c>
      <c r="E62" s="496">
        <f>'Materiais de reposição'!F59</f>
        <v>13.996666666666664</v>
      </c>
      <c r="F62" s="496">
        <f>'Materiais de reposição'!G59</f>
        <v>349.91666666666663</v>
      </c>
      <c r="G62" s="506" t="str">
        <f>'Materiais de reposição'!H59</f>
        <v>ELETRICA</v>
      </c>
      <c r="H62" s="53"/>
    </row>
    <row r="63" spans="1:8" s="44" customFormat="1">
      <c r="A63" s="49" t="str">
        <f>'Materiais de reposição'!A60</f>
        <v>2.57</v>
      </c>
      <c r="B63" s="50" t="str">
        <f>'Materiais de reposição'!C60</f>
        <v>Filme gelatina colorida 50 x 60 cm esp 3mm para iluminação</v>
      </c>
      <c r="C63" s="51" t="str">
        <f>'Materiais de reposição'!E60</f>
        <v>unid</v>
      </c>
      <c r="D63" s="51">
        <f>'Materiais de reposição'!D60</f>
        <v>30</v>
      </c>
      <c r="E63" s="496">
        <f>'Materiais de reposição'!F60</f>
        <v>34.64</v>
      </c>
      <c r="F63" s="496">
        <f>'Materiais de reposição'!G60</f>
        <v>1039.2</v>
      </c>
      <c r="G63" s="506" t="str">
        <f>'Materiais de reposição'!H60</f>
        <v>ELETRICA</v>
      </c>
      <c r="H63" s="53"/>
    </row>
    <row r="64" spans="1:8" s="44" customFormat="1">
      <c r="A64" s="49" t="str">
        <f>'Materiais de reposição'!A61</f>
        <v>2.58</v>
      </c>
      <c r="B64" s="50" t="str">
        <f>'Materiais de reposição'!C61</f>
        <v>Protetor contra surto modelo PQS 220 - DPS classe II/III com desacoplador térmico interno 15kA</v>
      </c>
      <c r="C64" s="51" t="str">
        <f>'Materiais de reposição'!E61</f>
        <v>unid</v>
      </c>
      <c r="D64" s="51">
        <f>'Materiais de reposição'!D61</f>
        <v>10</v>
      </c>
      <c r="E64" s="496">
        <f>'Materiais de reposição'!F61</f>
        <v>52.9</v>
      </c>
      <c r="F64" s="496">
        <f>'Materiais de reposição'!G61</f>
        <v>529</v>
      </c>
      <c r="G64" s="506" t="str">
        <f>'Materiais de reposição'!H61</f>
        <v>ELETRICA</v>
      </c>
      <c r="H64" s="53"/>
    </row>
    <row r="65" spans="1:8" s="44" customFormat="1" ht="25.5">
      <c r="A65" s="49" t="str">
        <f>'Materiais de reposição'!A62</f>
        <v>2.59</v>
      </c>
      <c r="B65" s="50" t="str">
        <f>'Materiais de reposição'!C62</f>
        <v>Sensor de presença bivolt, automático, de sobrepor, 500W, alcance mínimo de 10m, ângulo de atuação de 100º, ajuste de tempo e sensibilidade.</v>
      </c>
      <c r="C65" s="51" t="str">
        <f>'Materiais de reposição'!E62</f>
        <v>unid</v>
      </c>
      <c r="D65" s="51">
        <f>'Materiais de reposição'!D62</f>
        <v>6</v>
      </c>
      <c r="E65" s="496">
        <f>'Materiais de reposição'!F62</f>
        <v>27.4</v>
      </c>
      <c r="F65" s="496">
        <f>'Materiais de reposição'!G62</f>
        <v>164.39999999999998</v>
      </c>
      <c r="G65" s="506" t="str">
        <f>'Materiais de reposição'!H62</f>
        <v>ELETRICA</v>
      </c>
      <c r="H65" s="53"/>
    </row>
    <row r="66" spans="1:8" s="44" customFormat="1">
      <c r="A66" s="49" t="str">
        <f>'Materiais de reposição'!A63</f>
        <v>2.60</v>
      </c>
      <c r="B66" s="50" t="str">
        <f>'Materiais de reposição'!C63</f>
        <v>Cabos UTP categoria 6E CSU-4P 4 pares Furukawa</v>
      </c>
      <c r="C66" s="51" t="str">
        <f>'Materiais de reposição'!E63</f>
        <v>m</v>
      </c>
      <c r="D66" s="51">
        <f>'Materiais de reposição'!D63</f>
        <v>100</v>
      </c>
      <c r="E66" s="496">
        <f>'Materiais de reposição'!F63</f>
        <v>7.36</v>
      </c>
      <c r="F66" s="496">
        <f>'Materiais de reposição'!G63</f>
        <v>736</v>
      </c>
      <c r="G66" s="506" t="str">
        <f>'Materiais de reposição'!H63</f>
        <v>ELETRICA</v>
      </c>
      <c r="H66" s="53"/>
    </row>
    <row r="67" spans="1:8" s="44" customFormat="1">
      <c r="A67" s="49" t="str">
        <f>'Materiais de reposição'!A64</f>
        <v>2.61</v>
      </c>
      <c r="B67" s="50" t="str">
        <f>'Materiais de reposição'!C64</f>
        <v>CONECTOR FEMEA RJ - 45, CATEGORIA 6</v>
      </c>
      <c r="C67" s="51" t="str">
        <f>'Materiais de reposição'!E64</f>
        <v>unid</v>
      </c>
      <c r="D67" s="51">
        <f>'Materiais de reposição'!D64</f>
        <v>5</v>
      </c>
      <c r="E67" s="496">
        <f>'Materiais de reposição'!F64</f>
        <v>30.69</v>
      </c>
      <c r="F67" s="496">
        <f>'Materiais de reposição'!G64</f>
        <v>153.45000000000002</v>
      </c>
      <c r="G67" s="506" t="str">
        <f>'Materiais de reposição'!H64</f>
        <v>ELETRICA</v>
      </c>
      <c r="H67" s="53"/>
    </row>
    <row r="68" spans="1:8" s="44" customFormat="1">
      <c r="A68" s="49" t="str">
        <f>'Materiais de reposição'!A65</f>
        <v>2.62</v>
      </c>
      <c r="B68" s="50" t="str">
        <f>'Materiais de reposição'!C65</f>
        <v>CONECTOR MACHO RJ - 45, CATEGORIA 6</v>
      </c>
      <c r="C68" s="51" t="str">
        <f>'Materiais de reposição'!E65</f>
        <v>unid</v>
      </c>
      <c r="D68" s="51">
        <f>'Materiais de reposição'!D65</f>
        <v>30</v>
      </c>
      <c r="E68" s="496">
        <f>'Materiais de reposição'!F65</f>
        <v>3.27</v>
      </c>
      <c r="F68" s="496">
        <f>'Materiais de reposição'!G65</f>
        <v>98.1</v>
      </c>
      <c r="G68" s="506" t="str">
        <f>'Materiais de reposição'!H65</f>
        <v>ELETRICA</v>
      </c>
      <c r="H68" s="53"/>
    </row>
    <row r="69" spans="1:8" s="44" customFormat="1">
      <c r="A69" s="49" t="str">
        <f>'Materiais de reposição'!A66</f>
        <v>2.63</v>
      </c>
      <c r="B69" s="50" t="str">
        <f>'Materiais de reposição'!C66</f>
        <v>Cabo flexível 750v/70°C/nbr-6148  2,5mm²</v>
      </c>
      <c r="C69" s="51" t="str">
        <f>'Materiais de reposição'!E66</f>
        <v>m</v>
      </c>
      <c r="D69" s="51">
        <f>'Materiais de reposição'!D66</f>
        <v>50</v>
      </c>
      <c r="E69" s="496">
        <f>'Materiais de reposição'!F66</f>
        <v>2.42</v>
      </c>
      <c r="F69" s="496">
        <f>'Materiais de reposição'!G66</f>
        <v>121</v>
      </c>
      <c r="G69" s="506" t="str">
        <f>'Materiais de reposição'!H66</f>
        <v>ELETRICA</v>
      </c>
      <c r="H69" s="53"/>
    </row>
    <row r="70" spans="1:8" s="44" customFormat="1">
      <c r="A70" s="49" t="str">
        <f>'Materiais de reposição'!A67</f>
        <v>2.64</v>
      </c>
      <c r="B70" s="50" t="str">
        <f>'Materiais de reposição'!C67</f>
        <v>Cabo flexível 750v/70°C/nbr-6148  4,0mm²</v>
      </c>
      <c r="C70" s="51" t="str">
        <f>'Materiais de reposição'!E67</f>
        <v>m</v>
      </c>
      <c r="D70" s="51">
        <f>'Materiais de reposição'!D67</f>
        <v>100</v>
      </c>
      <c r="E70" s="496">
        <f>'Materiais de reposição'!F67</f>
        <v>4.0199999999999996</v>
      </c>
      <c r="F70" s="496">
        <f>'Materiais de reposição'!G67</f>
        <v>401.99999999999994</v>
      </c>
      <c r="G70" s="506" t="str">
        <f>'Materiais de reposição'!H67</f>
        <v>ELETRICA</v>
      </c>
      <c r="H70" s="53"/>
    </row>
    <row r="71" spans="1:8" s="44" customFormat="1">
      <c r="A71" s="49" t="str">
        <f>'Materiais de reposição'!A68</f>
        <v>2.65</v>
      </c>
      <c r="B71" s="50" t="str">
        <f>'Materiais de reposição'!C68</f>
        <v>Cabo PP 750v/70°C/nbr-7288 3x1,5mm²</v>
      </c>
      <c r="C71" s="51" t="str">
        <f>'Materiais de reposição'!E68</f>
        <v>m</v>
      </c>
      <c r="D71" s="51">
        <f>'Materiais de reposição'!D68</f>
        <v>30</v>
      </c>
      <c r="E71" s="496">
        <f>'Materiais de reposição'!F68</f>
        <v>6.1</v>
      </c>
      <c r="F71" s="496">
        <f>'Materiais de reposição'!G68</f>
        <v>183</v>
      </c>
      <c r="G71" s="506" t="str">
        <f>'Materiais de reposição'!H68</f>
        <v>ELETRICA</v>
      </c>
      <c r="H71" s="53"/>
    </row>
    <row r="72" spans="1:8" s="44" customFormat="1">
      <c r="A72" s="49" t="str">
        <f>'Materiais de reposição'!A69</f>
        <v>2.66</v>
      </c>
      <c r="B72" s="50" t="str">
        <f>'Materiais de reposição'!C69</f>
        <v>Cabo PP 750V/70º C/NBR 13249 3 x 4.0mm² PRYSMIAN</v>
      </c>
      <c r="C72" s="51" t="str">
        <f>'Materiais de reposição'!E69</f>
        <v>m</v>
      </c>
      <c r="D72" s="51">
        <f>'Materiais de reposição'!D69</f>
        <v>100</v>
      </c>
      <c r="E72" s="496">
        <f>'Materiais de reposição'!F69</f>
        <v>15.12</v>
      </c>
      <c r="F72" s="496">
        <f>'Materiais de reposição'!G69</f>
        <v>1512</v>
      </c>
      <c r="G72" s="506" t="str">
        <f>'Materiais de reposição'!H69</f>
        <v>ELETRICA</v>
      </c>
      <c r="H72" s="53"/>
    </row>
    <row r="73" spans="1:8" s="44" customFormat="1">
      <c r="A73" s="49" t="str">
        <f>'Materiais de reposição'!A70</f>
        <v>2.67</v>
      </c>
      <c r="B73" s="50" t="str">
        <f>'Materiais de reposição'!C70</f>
        <v>Chuveiro 5400W</v>
      </c>
      <c r="C73" s="51" t="str">
        <f>'Materiais de reposição'!E70</f>
        <v>unid</v>
      </c>
      <c r="D73" s="51">
        <f>'Materiais de reposição'!D70</f>
        <v>2</v>
      </c>
      <c r="E73" s="496">
        <f>'Materiais de reposição'!F70</f>
        <v>77.900000000000006</v>
      </c>
      <c r="F73" s="496">
        <f>'Materiais de reposição'!G70</f>
        <v>155.80000000000001</v>
      </c>
      <c r="G73" s="506" t="str">
        <f>'Materiais de reposição'!H70</f>
        <v>ELETRICA</v>
      </c>
      <c r="H73" s="53"/>
    </row>
    <row r="74" spans="1:8" s="44" customFormat="1">
      <c r="A74" s="49" t="str">
        <f>'Materiais de reposição'!A71</f>
        <v>2.68</v>
      </c>
      <c r="B74" s="50" t="str">
        <f>'Materiais de reposição'!C71</f>
        <v>Dipsositivo de proteção residual - DR Bipolar - 220V - 40A</v>
      </c>
      <c r="C74" s="51" t="str">
        <f>'Materiais de reposição'!E71</f>
        <v>unid</v>
      </c>
      <c r="D74" s="51">
        <f>'Materiais de reposição'!D71</f>
        <v>1</v>
      </c>
      <c r="E74" s="496">
        <f>'Materiais de reposição'!F71</f>
        <v>234.93</v>
      </c>
      <c r="F74" s="496">
        <f>'Materiais de reposição'!G71</f>
        <v>234.93</v>
      </c>
      <c r="G74" s="506" t="str">
        <f>'Materiais de reposição'!H71</f>
        <v>ELETRICA</v>
      </c>
      <c r="H74" s="53"/>
    </row>
    <row r="75" spans="1:8" s="44" customFormat="1">
      <c r="A75" s="49" t="str">
        <f>'Materiais de reposição'!A72</f>
        <v>2.69</v>
      </c>
      <c r="B75" s="50" t="str">
        <f>'Materiais de reposição'!C72</f>
        <v>Dipsositivo de proteção residual - DR Bipolar - 220V - 63A</v>
      </c>
      <c r="C75" s="51" t="str">
        <f>'Materiais de reposição'!E72</f>
        <v>unid</v>
      </c>
      <c r="D75" s="51">
        <f>'Materiais de reposição'!D72</f>
        <v>1</v>
      </c>
      <c r="E75" s="496">
        <f>'Materiais de reposição'!F72</f>
        <v>236.33</v>
      </c>
      <c r="F75" s="496">
        <f>'Materiais de reposição'!G72</f>
        <v>236.33</v>
      </c>
      <c r="G75" s="506" t="str">
        <f>'Materiais de reposição'!H72</f>
        <v>ELETRICA</v>
      </c>
      <c r="H75" s="53"/>
    </row>
    <row r="76" spans="1:8" s="44" customFormat="1">
      <c r="A76" s="49" t="str">
        <f>'Materiais de reposição'!A73</f>
        <v>2.70</v>
      </c>
      <c r="B76" s="50" t="str">
        <f>'Materiais de reposição'!C73</f>
        <v>Disjuntor SIEMENS DIN 20A</v>
      </c>
      <c r="C76" s="51" t="str">
        <f>'Materiais de reposição'!E73</f>
        <v>unid</v>
      </c>
      <c r="D76" s="51">
        <f>'Materiais de reposição'!D73</f>
        <v>2</v>
      </c>
      <c r="E76" s="496">
        <f>'Materiais de reposição'!F73</f>
        <v>16</v>
      </c>
      <c r="F76" s="496">
        <f>'Materiais de reposição'!G73</f>
        <v>32</v>
      </c>
      <c r="G76" s="506" t="str">
        <f>'Materiais de reposição'!H73</f>
        <v>ELETRICA</v>
      </c>
      <c r="H76" s="53"/>
    </row>
    <row r="77" spans="1:8" s="44" customFormat="1">
      <c r="A77" s="49" t="str">
        <f>'Materiais de reposição'!A74</f>
        <v>2.71</v>
      </c>
      <c r="B77" s="50" t="str">
        <f>'Materiais de reposição'!C74</f>
        <v>Disjuntor SIEMENS DIN 40A</v>
      </c>
      <c r="C77" s="51" t="str">
        <f>'Materiais de reposição'!E74</f>
        <v>unid</v>
      </c>
      <c r="D77" s="51">
        <f>'Materiais de reposição'!D74</f>
        <v>2</v>
      </c>
      <c r="E77" s="496">
        <f>'Materiais de reposição'!F74</f>
        <v>26.84</v>
      </c>
      <c r="F77" s="496">
        <f>'Materiais de reposição'!G74</f>
        <v>53.68</v>
      </c>
      <c r="G77" s="506" t="str">
        <f>'Materiais de reposição'!H74</f>
        <v>ELETRICA</v>
      </c>
      <c r="H77" s="53"/>
    </row>
    <row r="78" spans="1:8" s="44" customFormat="1">
      <c r="A78" s="49" t="str">
        <f>'Materiais de reposição'!A75</f>
        <v>2.72</v>
      </c>
      <c r="B78" s="50" t="str">
        <f>'Materiais de reposição'!C75</f>
        <v xml:space="preserve">Disjuntor Tripolar 100A </v>
      </c>
      <c r="C78" s="51" t="str">
        <f>'Materiais de reposição'!E75</f>
        <v>unid</v>
      </c>
      <c r="D78" s="51">
        <f>'Materiais de reposição'!D75</f>
        <v>1</v>
      </c>
      <c r="E78" s="496">
        <f>'Materiais de reposição'!F75</f>
        <v>473.24</v>
      </c>
      <c r="F78" s="496">
        <f>'Materiais de reposição'!G75</f>
        <v>473.24</v>
      </c>
      <c r="G78" s="506" t="str">
        <f>'Materiais de reposição'!H75</f>
        <v>ELETRICA</v>
      </c>
      <c r="H78" s="53"/>
    </row>
    <row r="79" spans="1:8" s="44" customFormat="1">
      <c r="A79" s="49" t="str">
        <f>'Materiais de reposição'!A76</f>
        <v>2.73</v>
      </c>
      <c r="B79" s="50" t="str">
        <f>'Materiais de reposição'!C76</f>
        <v>Interruptor de embutir 10A, 250V, 1-S, com placa, Fame</v>
      </c>
      <c r="C79" s="51" t="str">
        <f>'Materiais de reposição'!E76</f>
        <v>unid</v>
      </c>
      <c r="D79" s="51">
        <f>'Materiais de reposição'!D76</f>
        <v>2</v>
      </c>
      <c r="E79" s="496">
        <f>'Materiais de reposição'!F76</f>
        <v>17.18</v>
      </c>
      <c r="F79" s="496">
        <f>'Materiais de reposição'!G76</f>
        <v>34.36</v>
      </c>
      <c r="G79" s="506" t="str">
        <f>'Materiais de reposição'!H76</f>
        <v>ELETRICA</v>
      </c>
      <c r="H79" s="53"/>
    </row>
    <row r="80" spans="1:8" s="44" customFormat="1">
      <c r="A80" s="49" t="str">
        <f>'Materiais de reposição'!A77</f>
        <v>2.74</v>
      </c>
      <c r="B80" s="50" t="str">
        <f>'Materiais de reposição'!C77</f>
        <v>Interruptor de embutir 10A, 250V, 2-SS, com placa, Fame</v>
      </c>
      <c r="C80" s="51" t="str">
        <f>'Materiais de reposição'!E77</f>
        <v>unid</v>
      </c>
      <c r="D80" s="51">
        <f>'Materiais de reposição'!D77</f>
        <v>2</v>
      </c>
      <c r="E80" s="496">
        <f>'Materiais de reposição'!F77</f>
        <v>28.79</v>
      </c>
      <c r="F80" s="496">
        <f>'Materiais de reposição'!G77</f>
        <v>57.58</v>
      </c>
      <c r="G80" s="506" t="str">
        <f>'Materiais de reposição'!H77</f>
        <v>ELETRICA</v>
      </c>
      <c r="H80" s="53"/>
    </row>
    <row r="81" spans="1:14" s="44" customFormat="1">
      <c r="A81" s="49" t="str">
        <f>'Materiais de reposição'!A78</f>
        <v>2.75</v>
      </c>
      <c r="B81" s="50" t="str">
        <f>'Materiais de reposição'!C78</f>
        <v>Tomada 2P+T de embutir ou sobrepor 10A ref. Pial ou equivalente</v>
      </c>
      <c r="C81" s="51" t="str">
        <f>'Materiais de reposição'!E78</f>
        <v>unid</v>
      </c>
      <c r="D81" s="51">
        <f>'Materiais de reposição'!D78</f>
        <v>3</v>
      </c>
      <c r="E81" s="496">
        <f>'Materiais de reposição'!F78</f>
        <v>9.27</v>
      </c>
      <c r="F81" s="496">
        <f>'Materiais de reposição'!G78</f>
        <v>27.81</v>
      </c>
      <c r="G81" s="506" t="str">
        <f>'Materiais de reposição'!H78</f>
        <v>ELETRICA</v>
      </c>
      <c r="H81" s="53"/>
    </row>
    <row r="82" spans="1:14" s="44" customFormat="1">
      <c r="A82" s="49" t="str">
        <f>'Materiais de reposição'!A79</f>
        <v>2.76</v>
      </c>
      <c r="B82" s="50" t="str">
        <f>'Materiais de reposição'!C79</f>
        <v>Tomada 2P+T de embutir ou sobrepor 20A ref. Pial ou eequivalente</v>
      </c>
      <c r="C82" s="51" t="str">
        <f>'Materiais de reposição'!E79</f>
        <v>unid</v>
      </c>
      <c r="D82" s="51">
        <f>'Materiais de reposição'!D79</f>
        <v>3</v>
      </c>
      <c r="E82" s="496">
        <f>'Materiais de reposição'!F79</f>
        <v>11.87</v>
      </c>
      <c r="F82" s="496">
        <f>'Materiais de reposição'!G79</f>
        <v>35.61</v>
      </c>
      <c r="G82" s="506" t="str">
        <f>'Materiais de reposição'!H79</f>
        <v>ELETRICA</v>
      </c>
      <c r="H82" s="53"/>
    </row>
    <row r="83" spans="1:14" s="44" customFormat="1">
      <c r="A83" s="49" t="str">
        <f>'Materiais de reposição'!A80</f>
        <v>2.77</v>
      </c>
      <c r="B83" s="50" t="str">
        <f>'Materiais de reposição'!C80</f>
        <v>Gás GLP - P45</v>
      </c>
      <c r="C83" s="51" t="str">
        <f>'Materiais de reposição'!E80</f>
        <v>unid</v>
      </c>
      <c r="D83" s="51">
        <f>'Materiais de reposição'!D80</f>
        <v>2</v>
      </c>
      <c r="E83" s="496">
        <f>'Materiais de reposição'!F80</f>
        <v>327.14999999999998</v>
      </c>
      <c r="F83" s="496">
        <f>'Materiais de reposição'!G80</f>
        <v>654.29999999999995</v>
      </c>
      <c r="G83" s="506" t="str">
        <f>'Materiais de reposição'!H80</f>
        <v>DIVERSOS</v>
      </c>
      <c r="H83" s="53"/>
    </row>
    <row r="84" spans="1:14" s="44" customFormat="1">
      <c r="A84" s="49" t="str">
        <f>'Materiais de reposição'!A81</f>
        <v>2.78</v>
      </c>
      <c r="B84" s="50" t="str">
        <f>'Materiais de reposição'!C81</f>
        <v>Catraca tipo pedestal conforme especificação</v>
      </c>
      <c r="C84" s="51" t="str">
        <f>'Materiais de reposição'!E81</f>
        <v>unid</v>
      </c>
      <c r="D84" s="51">
        <f>'Materiais de reposição'!D81</f>
        <v>5</v>
      </c>
      <c r="E84" s="496">
        <f>'Materiais de reposição'!F81</f>
        <v>8652.7733333333326</v>
      </c>
      <c r="F84" s="496">
        <f>'Materiais de reposição'!G81</f>
        <v>43263.866666666661</v>
      </c>
      <c r="G84" s="506" t="str">
        <f>'Materiais de reposição'!H81</f>
        <v>DIVERSOS</v>
      </c>
      <c r="H84" s="53"/>
    </row>
    <row r="85" spans="1:14" s="44" customFormat="1">
      <c r="A85" s="49" t="str">
        <f>'Materiais de reposição'!A82</f>
        <v>2.79</v>
      </c>
      <c r="B85" s="50" t="str">
        <f>'Materiais de reposição'!C82</f>
        <v>Catraca PNE conforme especificação</v>
      </c>
      <c r="C85" s="51" t="str">
        <f>'Materiais de reposição'!E82</f>
        <v>unid</v>
      </c>
      <c r="D85" s="51">
        <f>'Materiais de reposição'!D82</f>
        <v>3</v>
      </c>
      <c r="E85" s="496">
        <f>'Materiais de reposição'!F82</f>
        <v>18407.73</v>
      </c>
      <c r="F85" s="496">
        <f>'Materiais de reposição'!G82</f>
        <v>55223.19</v>
      </c>
      <c r="G85" s="506" t="str">
        <f>'Materiais de reposição'!H82</f>
        <v>DIVERSOS</v>
      </c>
      <c r="H85" s="53"/>
    </row>
    <row r="86" spans="1:14" s="44" customFormat="1">
      <c r="A86" s="49" t="str">
        <f>'Materiais de reposição'!A83</f>
        <v>2.80</v>
      </c>
      <c r="B86" s="50" t="str">
        <f>'Materiais de reposição'!C83</f>
        <v>Controlador de acesso com reconhecimento facial conforme especificação</v>
      </c>
      <c r="C86" s="51" t="str">
        <f>'Materiais de reposição'!E83</f>
        <v>unid</v>
      </c>
      <c r="D86" s="51">
        <f>'Materiais de reposição'!D83</f>
        <v>9</v>
      </c>
      <c r="E86" s="496">
        <f>'Materiais de reposição'!F83</f>
        <v>4634.5950000000003</v>
      </c>
      <c r="F86" s="496">
        <f>'Materiais de reposição'!G83</f>
        <v>41711.355000000003</v>
      </c>
      <c r="G86" s="506" t="str">
        <f>'Materiais de reposição'!H83</f>
        <v>DIVERSOS</v>
      </c>
      <c r="H86" s="53"/>
    </row>
    <row r="87" spans="1:14" s="44" customFormat="1">
      <c r="A87" s="49" t="str">
        <f>'Materiais de reposição'!A84</f>
        <v>2.81</v>
      </c>
      <c r="B87" s="50" t="str">
        <f>'Materiais de reposição'!C84</f>
        <v>Bateria VRLA 12V 7A, referência: intelbras XB1270</v>
      </c>
      <c r="C87" s="51" t="str">
        <f>'Materiais de reposição'!E84</f>
        <v>unid</v>
      </c>
      <c r="D87" s="51">
        <f>'Materiais de reposição'!D84</f>
        <v>8</v>
      </c>
      <c r="E87" s="496">
        <f>'Materiais de reposição'!F84</f>
        <v>125.3</v>
      </c>
      <c r="F87" s="496">
        <f>'Materiais de reposição'!G84</f>
        <v>1002.4</v>
      </c>
      <c r="G87" s="506" t="str">
        <f>'Materiais de reposição'!H84</f>
        <v>DIVERSOS</v>
      </c>
      <c r="H87" s="53"/>
    </row>
    <row r="88" spans="1:14" s="44" customFormat="1">
      <c r="A88" s="49" t="str">
        <f>'Materiais de reposição'!A85</f>
        <v>2.82</v>
      </c>
      <c r="B88" s="50" t="str">
        <f>'Materiais de reposição'!C85</f>
        <v>Módulo SFP 1GE SX 850NM, 550m. Referência: furukawa</v>
      </c>
      <c r="C88" s="51" t="str">
        <f>'Materiais de reposição'!E85</f>
        <v>unid</v>
      </c>
      <c r="D88" s="51">
        <f>'Materiais de reposição'!D85</f>
        <v>8</v>
      </c>
      <c r="E88" s="496">
        <f>'Materiais de reposição'!F85</f>
        <v>1047.82</v>
      </c>
      <c r="F88" s="496">
        <f>'Materiais de reposição'!G85</f>
        <v>8382.56</v>
      </c>
      <c r="G88" s="506" t="str">
        <f>'Materiais de reposição'!H85</f>
        <v>DIVERSOS</v>
      </c>
      <c r="H88" s="53"/>
    </row>
    <row r="89" spans="1:14" s="44" customFormat="1" ht="13.5" thickBot="1">
      <c r="A89" s="49"/>
      <c r="B89" s="50"/>
      <c r="C89" s="51"/>
      <c r="D89" s="51"/>
      <c r="E89" s="496"/>
      <c r="F89" s="496"/>
      <c r="G89" s="52"/>
      <c r="H89" s="53"/>
    </row>
    <row r="90" spans="1:14" ht="15.75" customHeight="1">
      <c r="A90" s="704" t="s">
        <v>1349</v>
      </c>
      <c r="B90" s="705"/>
      <c r="C90" s="489" t="s">
        <v>1350</v>
      </c>
      <c r="D90" s="499"/>
      <c r="E90" s="490"/>
      <c r="F90" s="490">
        <f>'Materiais de reposição'!G87</f>
        <v>227186.8535</v>
      </c>
      <c r="G90" s="491"/>
    </row>
    <row r="91" spans="1:14" ht="15.75" customHeight="1">
      <c r="A91" s="706" t="s">
        <v>1351</v>
      </c>
      <c r="B91" s="707"/>
      <c r="C91" s="486" t="s">
        <v>1350</v>
      </c>
      <c r="D91" s="500">
        <v>0.22389999999999999</v>
      </c>
      <c r="E91" s="488"/>
      <c r="F91" s="487">
        <f>'Materiais de reposição'!G88</f>
        <v>0.22391624455096393</v>
      </c>
      <c r="G91" s="492"/>
    </row>
    <row r="92" spans="1:14" ht="15.75" customHeight="1" thickBot="1">
      <c r="A92" s="708" t="s">
        <v>1500</v>
      </c>
      <c r="B92" s="709"/>
      <c r="C92" s="493" t="s">
        <v>1350</v>
      </c>
      <c r="D92" s="710"/>
      <c r="E92" s="710"/>
      <c r="F92" s="494">
        <f>'Materiais de reposição'!G89</f>
        <v>278057.68054706999</v>
      </c>
      <c r="G92" s="495"/>
    </row>
    <row r="93" spans="1:14" ht="15.75" customHeight="1">
      <c r="A93" s="100"/>
      <c r="B93" s="100"/>
      <c r="C93" s="101"/>
      <c r="D93" s="484"/>
      <c r="E93" s="102"/>
      <c r="F93" s="102"/>
      <c r="G93" s="484"/>
    </row>
    <row r="94" spans="1:14" ht="13.5" thickBot="1">
      <c r="A94" s="711"/>
      <c r="B94" s="712"/>
      <c r="C94" s="712"/>
      <c r="D94" s="712"/>
      <c r="E94" s="712"/>
      <c r="F94" s="712"/>
      <c r="G94" s="713"/>
    </row>
    <row r="95" spans="1:14" ht="21.75" customHeight="1" thickBot="1">
      <c r="A95" s="54" t="s">
        <v>1502</v>
      </c>
      <c r="B95" s="722" t="s">
        <v>342</v>
      </c>
      <c r="C95" s="723"/>
      <c r="D95" s="723"/>
      <c r="E95" s="723"/>
      <c r="F95" s="723"/>
      <c r="G95" s="724"/>
      <c r="H95" s="44"/>
      <c r="I95" s="59" t="e">
        <f>#REF!/#REF!</f>
        <v>#REF!</v>
      </c>
      <c r="J95" s="59" t="e">
        <f>#REF!/#REF!</f>
        <v>#REF!</v>
      </c>
      <c r="K95" s="59" t="e">
        <f>#REF!/#REF!</f>
        <v>#REF!</v>
      </c>
      <c r="L95" s="59" t="e">
        <f>#REF!/#REF!</f>
        <v>#REF!</v>
      </c>
      <c r="M95" s="59" t="e">
        <f>#REF!/#REF!</f>
        <v>#REF!</v>
      </c>
      <c r="N95" s="59" t="e">
        <f>#REF!/#REF!</f>
        <v>#REF!</v>
      </c>
    </row>
    <row r="96" spans="1:14" s="47" customFormat="1" ht="25.5">
      <c r="A96" s="71" t="s">
        <v>1343</v>
      </c>
      <c r="B96" s="72" t="s">
        <v>464</v>
      </c>
      <c r="C96" s="73" t="s">
        <v>1344</v>
      </c>
      <c r="D96" s="74" t="s">
        <v>1345</v>
      </c>
      <c r="E96" s="74" t="s">
        <v>1346</v>
      </c>
      <c r="F96" s="74" t="s">
        <v>1347</v>
      </c>
      <c r="G96" s="75" t="s">
        <v>1348</v>
      </c>
      <c r="H96" s="46"/>
    </row>
    <row r="97" spans="1:8" s="44" customFormat="1">
      <c r="A97" s="49" t="str">
        <f>'Serviços eventuais'!A4</f>
        <v>3.1</v>
      </c>
      <c r="B97" s="50" t="str">
        <f>'Serviços eventuais'!C4</f>
        <v>DEMOLIÇÃO DE RODAPÉ CERÂMICO, DE FORMA MANUAL, SEM REAPROVEITAMENTO</v>
      </c>
      <c r="C97" s="51" t="str">
        <f>'Serviços eventuais'!D4</f>
        <v>M</v>
      </c>
      <c r="D97" s="51">
        <f>'Serviços eventuais'!E4</f>
        <v>100</v>
      </c>
      <c r="E97" s="496">
        <f>'Serviços eventuais'!F4</f>
        <v>2.66</v>
      </c>
      <c r="F97" s="496">
        <f>'Serviços eventuais'!G4</f>
        <v>266</v>
      </c>
      <c r="G97" s="52" t="str">
        <f>'Serviços eventuais'!B4</f>
        <v>97632</v>
      </c>
      <c r="H97" s="53"/>
    </row>
    <row r="98" spans="1:8" s="44" customFormat="1" ht="25.5">
      <c r="A98" s="49" t="str">
        <f>'Serviços eventuais'!A5</f>
        <v>3.2</v>
      </c>
      <c r="B98" s="50" t="str">
        <f>'Serviços eventuais'!C5</f>
        <v>DEMOLIÇÃO DE REVESTIMENTO CERÂMICO, DE FORMA MANUAL, SEM REAPROVEITAMENTO</v>
      </c>
      <c r="C98" s="51" t="str">
        <f>'Serviços eventuais'!D5</f>
        <v>M2</v>
      </c>
      <c r="D98" s="51">
        <f>'Serviços eventuais'!E5</f>
        <v>350</v>
      </c>
      <c r="E98" s="496">
        <f>'Serviços eventuais'!F5</f>
        <v>23.26</v>
      </c>
      <c r="F98" s="496">
        <f>'Serviços eventuais'!G5</f>
        <v>8141</v>
      </c>
      <c r="G98" s="52" t="str">
        <f>'Serviços eventuais'!B5</f>
        <v>97633</v>
      </c>
      <c r="H98" s="53"/>
    </row>
    <row r="99" spans="1:8" s="44" customFormat="1">
      <c r="A99" s="49" t="str">
        <f>'Serviços eventuais'!A6</f>
        <v>3.3</v>
      </c>
      <c r="B99" s="50" t="str">
        <f>'Serviços eventuais'!C6</f>
        <v xml:space="preserve">Revestimento de piso, tipo porcelanato - 1º subsolo - vestiarios, salas técnicas, etc </v>
      </c>
      <c r="C99" s="51" t="str">
        <f>'Serviços eventuais'!D6</f>
        <v>M2</v>
      </c>
      <c r="D99" s="51">
        <f>'Serviços eventuais'!E6</f>
        <v>160</v>
      </c>
      <c r="E99" s="496">
        <f>'Serviços eventuais'!F6</f>
        <v>156.04</v>
      </c>
      <c r="F99" s="496">
        <f>'Serviços eventuais'!G6</f>
        <v>24966.400000000001</v>
      </c>
      <c r="G99" s="52">
        <f>'Serviços eventuais'!B6</f>
        <v>87262</v>
      </c>
      <c r="H99" s="53"/>
    </row>
    <row r="100" spans="1:8" s="44" customFormat="1">
      <c r="A100" s="49" t="str">
        <f>'Serviços eventuais'!A7</f>
        <v>3.4</v>
      </c>
      <c r="B100" s="50" t="str">
        <f>'Serviços eventuais'!C7</f>
        <v>Piso de granito dourado carioca flameado / polido</v>
      </c>
      <c r="C100" s="51" t="str">
        <f>'Serviços eventuais'!D7</f>
        <v>M2</v>
      </c>
      <c r="D100" s="51">
        <f>'Serviços eventuais'!E7</f>
        <v>50</v>
      </c>
      <c r="E100" s="496">
        <f>'Serviços eventuais'!F7</f>
        <v>367.43</v>
      </c>
      <c r="F100" s="496">
        <f>'Serviços eventuais'!G7</f>
        <v>18371.5</v>
      </c>
      <c r="G100" s="52">
        <f>'Serviços eventuais'!B7</f>
        <v>98671</v>
      </c>
      <c r="H100" s="53"/>
    </row>
    <row r="101" spans="1:8" s="44" customFormat="1">
      <c r="A101" s="49" t="str">
        <f>'Serviços eventuais'!A8</f>
        <v>3.5</v>
      </c>
      <c r="B101" s="50" t="str">
        <f>'Serviços eventuais'!C8</f>
        <v>Piso de Granito BRANCO POLAR flameado / polido</v>
      </c>
      <c r="C101" s="51" t="str">
        <f>'Serviços eventuais'!D8</f>
        <v>M2</v>
      </c>
      <c r="D101" s="51">
        <f>'Serviços eventuais'!E8</f>
        <v>50</v>
      </c>
      <c r="E101" s="496">
        <f>'Serviços eventuais'!F8</f>
        <v>367.43</v>
      </c>
      <c r="F101" s="496">
        <f>'Serviços eventuais'!G8</f>
        <v>18371.5</v>
      </c>
      <c r="G101" s="52">
        <f>'Serviços eventuais'!B8</f>
        <v>98671</v>
      </c>
      <c r="H101" s="53"/>
    </row>
    <row r="102" spans="1:8" s="44" customFormat="1">
      <c r="A102" s="49" t="str">
        <f>'Serviços eventuais'!A9</f>
        <v>3.6</v>
      </c>
      <c r="B102" s="50" t="str">
        <f>'Serviços eventuais'!C9</f>
        <v>Revestimento em placa vinílica de 50cm x 50cm - pavimento tipo</v>
      </c>
      <c r="C102" s="51" t="str">
        <f>'Serviços eventuais'!D9</f>
        <v>M2</v>
      </c>
      <c r="D102" s="51">
        <f>'Serviços eventuais'!E9</f>
        <v>375</v>
      </c>
      <c r="E102" s="496">
        <f>'Serviços eventuais'!F9</f>
        <v>206.80405416666667</v>
      </c>
      <c r="F102" s="496">
        <f>'Serviços eventuais'!G9</f>
        <v>77551.520000000004</v>
      </c>
      <c r="G102" s="52" t="str">
        <f>'Serviços eventuais'!B9</f>
        <v>PRÓPRIA</v>
      </c>
      <c r="H102" s="53"/>
    </row>
    <row r="103" spans="1:8" s="44" customFormat="1" ht="25.5">
      <c r="A103" s="49" t="str">
        <f>'Serviços eventuais'!A10</f>
        <v>3.7</v>
      </c>
      <c r="B103" s="50" t="str">
        <f>'Serviços eventuais'!C10</f>
        <v>PINTURA DE PISO COM TINTA EPÓXI, APLICAÇÃO MANUAL, 2 DEMÃOS, INCLUSO PRIMER EPÓXI.</v>
      </c>
      <c r="C103" s="51" t="str">
        <f>'Serviços eventuais'!D10</f>
        <v>M2</v>
      </c>
      <c r="D103" s="51">
        <f>'Serviços eventuais'!E10</f>
        <v>185</v>
      </c>
      <c r="E103" s="496">
        <f>'Serviços eventuais'!F10</f>
        <v>70.64</v>
      </c>
      <c r="F103" s="496">
        <f>'Serviços eventuais'!G10</f>
        <v>13068.4</v>
      </c>
      <c r="G103" s="52" t="str">
        <f>'Serviços eventuais'!B10</f>
        <v>102494</v>
      </c>
      <c r="H103" s="53"/>
    </row>
    <row r="104" spans="1:8" s="44" customFormat="1" ht="25.5">
      <c r="A104" s="49" t="str">
        <f>'Serviços eventuais'!A11</f>
        <v>3.8</v>
      </c>
      <c r="B104" s="50" t="str">
        <f>'Serviços eventuais'!C11</f>
        <v>PINTURA DE RODAPÉ COM TINTA EPÓXI, APLICAÇÃO MANUAL, 2 DEMÃOS, INCLUSÃO PRIMER EPÓXI</v>
      </c>
      <c r="C104" s="51" t="str">
        <f>'Serviços eventuais'!D11</f>
        <v>M</v>
      </c>
      <c r="D104" s="51">
        <f>'Serviços eventuais'!E11</f>
        <v>95</v>
      </c>
      <c r="E104" s="496">
        <f>'Serviços eventuais'!F11</f>
        <v>14.55</v>
      </c>
      <c r="F104" s="496">
        <f>'Serviços eventuais'!G11</f>
        <v>1382.25</v>
      </c>
      <c r="G104" s="52" t="str">
        <f>'Serviços eventuais'!B11</f>
        <v>102496</v>
      </c>
      <c r="H104" s="53"/>
    </row>
    <row r="105" spans="1:8" s="44" customFormat="1" ht="25.5">
      <c r="A105" s="49" t="str">
        <f>'Serviços eventuais'!A12</f>
        <v>3.9</v>
      </c>
      <c r="B105" s="50" t="str">
        <f>'Serviços eventuais'!C12</f>
        <v>PINTURA DE PISO COM TINTA ACRÍLICA, APLICAÇÃO MANUAL, 2 DEMÃOS, INCLUSO FUNDO PREPARADOR</v>
      </c>
      <c r="C105" s="51" t="str">
        <f>'Serviços eventuais'!D12</f>
        <v>M2</v>
      </c>
      <c r="D105" s="51">
        <f>'Serviços eventuais'!E12</f>
        <v>280</v>
      </c>
      <c r="E105" s="496">
        <f>'Serviços eventuais'!F12</f>
        <v>21.71</v>
      </c>
      <c r="F105" s="496">
        <f>'Serviços eventuais'!G12</f>
        <v>6078.8</v>
      </c>
      <c r="G105" s="52" t="str">
        <f>'Serviços eventuais'!B12</f>
        <v>102491</v>
      </c>
      <c r="H105" s="53"/>
    </row>
    <row r="106" spans="1:8" s="44" customFormat="1">
      <c r="A106" s="49" t="str">
        <f>'Serviços eventuais'!A13</f>
        <v>3.10</v>
      </c>
      <c r="B106" s="50" t="str">
        <f>'Serviços eventuais'!C13</f>
        <v>RECUPERAÇÃO DE PISO ELEVADO</v>
      </c>
      <c r="C106" s="51" t="str">
        <f>'Serviços eventuais'!D13</f>
        <v>M2</v>
      </c>
      <c r="D106" s="51">
        <f>'Serviços eventuais'!E13</f>
        <v>25</v>
      </c>
      <c r="E106" s="496">
        <f>'Serviços eventuais'!F13</f>
        <v>377.79741000000001</v>
      </c>
      <c r="F106" s="496">
        <f>'Serviços eventuais'!G13</f>
        <v>9444.93</v>
      </c>
      <c r="G106" s="52" t="str">
        <f>'Serviços eventuais'!B13</f>
        <v>PROPRIA</v>
      </c>
      <c r="H106" s="53"/>
    </row>
    <row r="107" spans="1:8" s="44" customFormat="1">
      <c r="A107" s="49" t="str">
        <f>'Serviços eventuais'!A14</f>
        <v>3.11</v>
      </c>
      <c r="B107" s="50" t="str">
        <f>'Serviços eventuais'!C14</f>
        <v>PISO EM CARPETE - Plenário - inluindo retirada do anterior</v>
      </c>
      <c r="C107" s="51" t="str">
        <f>'Serviços eventuais'!D14</f>
        <v>M2</v>
      </c>
      <c r="D107" s="51">
        <f>'Serviços eventuais'!E14</f>
        <v>290</v>
      </c>
      <c r="E107" s="496">
        <f>'Serviços eventuais'!F14</f>
        <v>217.26740999999998</v>
      </c>
      <c r="F107" s="496">
        <f>'Serviços eventuais'!G14</f>
        <v>63007.54</v>
      </c>
      <c r="G107" s="52" t="str">
        <f>'Serviços eventuais'!B14</f>
        <v>PROPRIA</v>
      </c>
      <c r="H107" s="53"/>
    </row>
    <row r="108" spans="1:8" s="44" customFormat="1">
      <c r="A108" s="49" t="str">
        <f>'Serviços eventuais'!A15</f>
        <v>3.12</v>
      </c>
      <c r="B108" s="50" t="str">
        <f>'Serviços eventuais'!C15</f>
        <v>Execução de junta de dilatação com selante elástico monocomponente a base de poliuretano 1x1cm</v>
      </c>
      <c r="C108" s="51" t="str">
        <f>'Serviços eventuais'!D15</f>
        <v>M</v>
      </c>
      <c r="D108" s="51">
        <f>'Serviços eventuais'!E15</f>
        <v>85</v>
      </c>
      <c r="E108" s="496">
        <f>'Serviços eventuais'!F15</f>
        <v>110.7</v>
      </c>
      <c r="F108" s="496">
        <f>'Serviços eventuais'!G15</f>
        <v>9409.5</v>
      </c>
      <c r="G108" s="52" t="str">
        <f>'Serviços eventuais'!B15</f>
        <v>PRÓPRIA</v>
      </c>
      <c r="H108" s="53"/>
    </row>
    <row r="109" spans="1:8" s="44" customFormat="1" ht="25.5">
      <c r="A109" s="49" t="str">
        <f>'Serviços eventuais'!A16</f>
        <v>3.13</v>
      </c>
      <c r="B109" s="50" t="str">
        <f>'Serviços eventuais'!C16</f>
        <v>TRATAMENTO DE JUNTA SERRADA, COM TARUGO DE POLIETILENO E SELANTE À BASE DE SILICONE</v>
      </c>
      <c r="C109" s="51" t="str">
        <f>'Serviços eventuais'!D16</f>
        <v>M</v>
      </c>
      <c r="D109" s="51">
        <f>'Serviços eventuais'!E16</f>
        <v>45</v>
      </c>
      <c r="E109" s="496">
        <f>'Serviços eventuais'!F16</f>
        <v>51.29</v>
      </c>
      <c r="F109" s="496">
        <f>'Serviços eventuais'!G16</f>
        <v>2308.0500000000002</v>
      </c>
      <c r="G109" s="52" t="str">
        <f>'Serviços eventuais'!B16</f>
        <v>98577</v>
      </c>
      <c r="H109" s="53"/>
    </row>
    <row r="110" spans="1:8" s="44" customFormat="1" ht="25.5">
      <c r="A110" s="49" t="str">
        <f>'Serviços eventuais'!A17</f>
        <v>3.14</v>
      </c>
      <c r="B110" s="50" t="str">
        <f>'Serviços eventuais'!C17</f>
        <v>PISO PODOTÁTIL DE ALERTA OU DIRECIONAL, DE BORRACHA, ASSENTADO SOBRE ARGAMASSA</v>
      </c>
      <c r="C110" s="51" t="str">
        <f>'Serviços eventuais'!D17</f>
        <v>M</v>
      </c>
      <c r="D110" s="51">
        <f>'Serviços eventuais'!E17</f>
        <v>40</v>
      </c>
      <c r="E110" s="496">
        <f>'Serviços eventuais'!F17</f>
        <v>141.13999999999999</v>
      </c>
      <c r="F110" s="496">
        <f>'Serviços eventuais'!G17</f>
        <v>5645.6</v>
      </c>
      <c r="G110" s="52">
        <f>'Serviços eventuais'!B17</f>
        <v>101094</v>
      </c>
      <c r="H110" s="53"/>
    </row>
    <row r="111" spans="1:8" s="44" customFormat="1" ht="38.25">
      <c r="A111" s="49" t="str">
        <f>'Serviços eventuais'!A18</f>
        <v>3.15</v>
      </c>
      <c r="B111" s="50" t="str">
        <f>'Serviços eventuais'!C18</f>
        <v>Execução de PUPED – MEMBRANA DE POLIURETANO PARA TRÁFEGO DE PEDESTRES COM 1,8mm DE ESPESSURA, TEXTURA ANTIDERRAPANTE E PROTEÇÃO ALIFÁTICA CONTRA INTEMPÉRIES</v>
      </c>
      <c r="C111" s="51" t="str">
        <f>'Serviços eventuais'!D18</f>
        <v>M2</v>
      </c>
      <c r="D111" s="51">
        <f>'Serviços eventuais'!E18</f>
        <v>570</v>
      </c>
      <c r="E111" s="496">
        <f>'Serviços eventuais'!F18</f>
        <v>139.578</v>
      </c>
      <c r="F111" s="496">
        <f>'Serviços eventuais'!G18</f>
        <v>79559.460000000006</v>
      </c>
      <c r="G111" s="52" t="str">
        <f>'Serviços eventuais'!B18</f>
        <v>PROPRIA</v>
      </c>
      <c r="H111" s="53"/>
    </row>
    <row r="112" spans="1:8" s="44" customFormat="1" ht="15" customHeight="1">
      <c r="A112" s="49" t="str">
        <f>'Serviços eventuais'!A19</f>
        <v>3.16</v>
      </c>
      <c r="B112" s="50" t="str">
        <f>'Serviços eventuais'!C19</f>
        <v>FORRO EM DRYWALL, PARA AMBIENTES COMERCIAIS, INCLUSIVE ESTRUTURA DE FIXAÇÃO</v>
      </c>
      <c r="C112" s="51" t="str">
        <f>'Serviços eventuais'!D19</f>
        <v>M2</v>
      </c>
      <c r="D112" s="51">
        <f>'Serviços eventuais'!E19</f>
        <v>120</v>
      </c>
      <c r="E112" s="496">
        <f>'Serviços eventuais'!F19</f>
        <v>67.42</v>
      </c>
      <c r="F112" s="496">
        <f>'Serviços eventuais'!G19</f>
        <v>8090.4</v>
      </c>
      <c r="G112" s="52" t="str">
        <f>'Serviços eventuais'!B19</f>
        <v>96114</v>
      </c>
      <c r="H112" s="53"/>
    </row>
    <row r="113" spans="1:8" s="44" customFormat="1" ht="25.5">
      <c r="A113" s="49" t="str">
        <f>'Serviços eventuais'!A20</f>
        <v>3.17</v>
      </c>
      <c r="B113" s="50" t="str">
        <f>'Serviços eventuais'!C20</f>
        <v>FORRO EM RÉGUAS DE PVC, FRISADO, PARA AMBIENTES COMERCIAIS, INCLUSIVE ESTRUTURA DE FIXAÇÃO</v>
      </c>
      <c r="C113" s="51" t="str">
        <f>'Serviços eventuais'!D20</f>
        <v>M2</v>
      </c>
      <c r="D113" s="51">
        <f>'Serviços eventuais'!E20</f>
        <v>20</v>
      </c>
      <c r="E113" s="496">
        <f>'Serviços eventuais'!F20</f>
        <v>63.08</v>
      </c>
      <c r="F113" s="496">
        <f>'Serviços eventuais'!G20</f>
        <v>1261.5999999999999</v>
      </c>
      <c r="G113" s="52">
        <f>'Serviços eventuais'!B20</f>
        <v>96116</v>
      </c>
      <c r="H113" s="53"/>
    </row>
    <row r="114" spans="1:8" s="44" customFormat="1" ht="15" customHeight="1">
      <c r="A114" s="49" t="str">
        <f>'Serviços eventuais'!A21</f>
        <v>3.18</v>
      </c>
      <c r="B114" s="50" t="str">
        <f>'Serviços eventuais'!C21</f>
        <v>ACABAMENTOS PARA FORRO (RODA-FORRO EM PERFIL METÁLICO E PLÁSTICO)</v>
      </c>
      <c r="C114" s="51" t="str">
        <f>'Serviços eventuais'!D21</f>
        <v>M</v>
      </c>
      <c r="D114" s="51">
        <f>'Serviços eventuais'!E21</f>
        <v>20</v>
      </c>
      <c r="E114" s="496">
        <f>'Serviços eventuais'!F21</f>
        <v>11.83</v>
      </c>
      <c r="F114" s="496">
        <f>'Serviços eventuais'!G21</f>
        <v>236.6</v>
      </c>
      <c r="G114" s="52">
        <f>'Serviços eventuais'!B21</f>
        <v>96121</v>
      </c>
      <c r="H114" s="53"/>
    </row>
    <row r="115" spans="1:8" s="44" customFormat="1" ht="25.5">
      <c r="A115" s="49" t="str">
        <f>'Serviços eventuais'!A22</f>
        <v>3.19</v>
      </c>
      <c r="B115" s="50" t="str">
        <f>'Serviços eventuais'!C22</f>
        <v>AJUSTES E RECOLOCACO DE FORROS EM LAMBRIL DE MADEIRA DO REFEITÓRIO, CONSIDERANDO REAPROVEITAMENTO DO MATERIAL</v>
      </c>
      <c r="C115" s="51" t="str">
        <f>'Serviços eventuais'!D22</f>
        <v>M2</v>
      </c>
      <c r="D115" s="51">
        <f>'Serviços eventuais'!E22</f>
        <v>600</v>
      </c>
      <c r="E115" s="496">
        <f>'Serviços eventuais'!F22</f>
        <v>4.5439999999999996</v>
      </c>
      <c r="F115" s="496">
        <f>'Serviços eventuais'!G22</f>
        <v>2726.4</v>
      </c>
      <c r="G115" s="52" t="str">
        <f>'Serviços eventuais'!B22</f>
        <v>PROPRIA</v>
      </c>
      <c r="H115" s="53"/>
    </row>
    <row r="116" spans="1:8" s="44" customFormat="1">
      <c r="A116" s="49" t="str">
        <f>'Serviços eventuais'!A23</f>
        <v>3.20</v>
      </c>
      <c r="B116" s="50" t="str">
        <f>'Serviços eventuais'!C23</f>
        <v>Parede de dry-wall - instalada (interna, guia simples, sem vão)</v>
      </c>
      <c r="C116" s="51" t="str">
        <f>'Serviços eventuais'!D23</f>
        <v>M2</v>
      </c>
      <c r="D116" s="51">
        <f>'Serviços eventuais'!E23</f>
        <v>35</v>
      </c>
      <c r="E116" s="496">
        <f>'Serviços eventuais'!F23</f>
        <v>85.22</v>
      </c>
      <c r="F116" s="496">
        <f>'Serviços eventuais'!G23</f>
        <v>2982.7</v>
      </c>
      <c r="G116" s="52">
        <f>'Serviços eventuais'!B23</f>
        <v>96358</v>
      </c>
      <c r="H116" s="53"/>
    </row>
    <row r="117" spans="1:8" s="44" customFormat="1" ht="25.5">
      <c r="A117" s="49" t="str">
        <f>'Serviços eventuais'!A24</f>
        <v>3.21</v>
      </c>
      <c r="B117" s="50" t="str">
        <f>'Serviços eventuais'!C24</f>
        <v>APLICAÇÃO MANUAL DE PINTURA COM TINTA TEXTURIZADA ACRÍLICA EM PAREDES EXTERNAS, MURETAS E JARDINEIRAS</v>
      </c>
      <c r="C117" s="51" t="str">
        <f>'Serviços eventuais'!D24</f>
        <v>M2</v>
      </c>
      <c r="D117" s="51">
        <f>'Serviços eventuais'!E24</f>
        <v>700</v>
      </c>
      <c r="E117" s="496">
        <f>'Serviços eventuais'!F24</f>
        <v>25.21</v>
      </c>
      <c r="F117" s="496">
        <f>'Serviços eventuais'!G24</f>
        <v>17647</v>
      </c>
      <c r="G117" s="52" t="str">
        <f>'Serviços eventuais'!B24</f>
        <v>88431</v>
      </c>
      <c r="H117" s="53"/>
    </row>
    <row r="118" spans="1:8" s="44" customFormat="1">
      <c r="A118" s="49" t="str">
        <f>'Serviços eventuais'!A25</f>
        <v>3.22</v>
      </c>
      <c r="B118" s="50" t="str">
        <f>'Serviços eventuais'!C25</f>
        <v>APLICAÇÃO E LIXAMENTO DE MASSA LÁTEX EM TETO, DUAS DEMÃOS.</v>
      </c>
      <c r="C118" s="51" t="str">
        <f>'Serviços eventuais'!D25</f>
        <v>M2</v>
      </c>
      <c r="D118" s="51">
        <f>'Serviços eventuais'!E25</f>
        <v>150</v>
      </c>
      <c r="E118" s="496">
        <f>'Serviços eventuais'!F25</f>
        <v>33.53</v>
      </c>
      <c r="F118" s="496">
        <f>'Serviços eventuais'!G25</f>
        <v>5029.5</v>
      </c>
      <c r="G118" s="52" t="str">
        <f>'Serviços eventuais'!B25</f>
        <v>88496</v>
      </c>
      <c r="H118" s="53"/>
    </row>
    <row r="119" spans="1:8" s="44" customFormat="1">
      <c r="A119" s="49" t="str">
        <f>'Serviços eventuais'!A26</f>
        <v>3.23</v>
      </c>
      <c r="B119" s="50" t="str">
        <f>'Serviços eventuais'!C26</f>
        <v>APLICAÇÃO E LIXAMENTO DE MASSA LÁTEX EM PAREDES, DUAS DEMÃOS.</v>
      </c>
      <c r="C119" s="51" t="str">
        <f>'Serviços eventuais'!D26</f>
        <v>M2</v>
      </c>
      <c r="D119" s="51">
        <f>'Serviços eventuais'!E26</f>
        <v>620</v>
      </c>
      <c r="E119" s="496">
        <f>'Serviços eventuais'!F26</f>
        <v>19.04</v>
      </c>
      <c r="F119" s="496">
        <f>'Serviços eventuais'!G26</f>
        <v>11804.8</v>
      </c>
      <c r="G119" s="52" t="str">
        <f>'Serviços eventuais'!B26</f>
        <v>88497</v>
      </c>
      <c r="H119" s="53"/>
    </row>
    <row r="120" spans="1:8" s="44" customFormat="1">
      <c r="A120" s="49" t="str">
        <f>'Serviços eventuais'!A27</f>
        <v>3.24</v>
      </c>
      <c r="B120" s="50" t="str">
        <f>'Serviços eventuais'!C27</f>
        <v>APLICAÇÃO MANUAL DE PINTURA COM TINTA LÁTEX ACRÍLICA EM TETO, DUAS DEMÃOS.</v>
      </c>
      <c r="C120" s="51" t="str">
        <f>'Serviços eventuais'!D27</f>
        <v>M2</v>
      </c>
      <c r="D120" s="51">
        <f>'Serviços eventuais'!E27</f>
        <v>150</v>
      </c>
      <c r="E120" s="496">
        <f>'Serviços eventuais'!F27</f>
        <v>15.65</v>
      </c>
      <c r="F120" s="496">
        <f>'Serviços eventuais'!G27</f>
        <v>2347.5</v>
      </c>
      <c r="G120" s="52" t="str">
        <f>'Serviços eventuais'!B27</f>
        <v>88488</v>
      </c>
      <c r="H120" s="53"/>
    </row>
    <row r="121" spans="1:8" s="44" customFormat="1" ht="25.5">
      <c r="A121" s="49" t="str">
        <f>'Serviços eventuais'!A28</f>
        <v>3.25</v>
      </c>
      <c r="B121" s="50" t="str">
        <f>'Serviços eventuais'!C28</f>
        <v>APLICAÇÃO MANUAL DE PINTURA COM TINTA LÁTEX ACRÍLICA EM PAREDES, DUAS DEMÃOS.</v>
      </c>
      <c r="C121" s="51" t="str">
        <f>'Serviços eventuais'!D28</f>
        <v>M2</v>
      </c>
      <c r="D121" s="51">
        <f>'Serviços eventuais'!E28</f>
        <v>620</v>
      </c>
      <c r="E121" s="496">
        <f>'Serviços eventuais'!F28</f>
        <v>13.23</v>
      </c>
      <c r="F121" s="496">
        <f>'Serviços eventuais'!G28</f>
        <v>8202.6</v>
      </c>
      <c r="G121" s="52" t="str">
        <f>'Serviços eventuais'!B28</f>
        <v>88489</v>
      </c>
      <c r="H121" s="53"/>
    </row>
    <row r="122" spans="1:8" s="44" customFormat="1">
      <c r="A122" s="49" t="str">
        <f>'Serviços eventuais'!A29</f>
        <v>3.26</v>
      </c>
      <c r="B122" s="50" t="str">
        <f>'Serviços eventuais'!C29</f>
        <v>PINTURA ESMALTE ACETINADO EM MADEIRA, DUAS DEMAOS COM LIXAMENTO</v>
      </c>
      <c r="C122" s="51" t="str">
        <f>'Serviços eventuais'!D29</f>
        <v>M2</v>
      </c>
      <c r="D122" s="51">
        <f>'Serviços eventuais'!E29</f>
        <v>180</v>
      </c>
      <c r="E122" s="496">
        <f>'Serviços eventuais'!F29</f>
        <v>18.329999999999998</v>
      </c>
      <c r="F122" s="496">
        <f>'Serviços eventuais'!G29</f>
        <v>3299.4</v>
      </c>
      <c r="G122" s="52" t="str">
        <f>'Serviços eventuais'!B29</f>
        <v>PROPRIA</v>
      </c>
      <c r="H122" s="53"/>
    </row>
    <row r="123" spans="1:8" s="44" customFormat="1">
      <c r="A123" s="49" t="str">
        <f>'Serviços eventuais'!A30</f>
        <v>3.27</v>
      </c>
      <c r="B123" s="50" t="str">
        <f>'Serviços eventuais'!C30</f>
        <v>VERNIZ SINTETICO EM MADEIRA, 3 DEMAOS, incolor, COM LIXAMENTO</v>
      </c>
      <c r="C123" s="51" t="str">
        <f>'Serviços eventuais'!D30</f>
        <v>M2</v>
      </c>
      <c r="D123" s="51">
        <f>'Serviços eventuais'!E30</f>
        <v>120</v>
      </c>
      <c r="E123" s="496">
        <f>'Serviços eventuais'!F30</f>
        <v>30.245564000000002</v>
      </c>
      <c r="F123" s="496">
        <f>'Serviços eventuais'!G30</f>
        <v>3629.46</v>
      </c>
      <c r="G123" s="52" t="str">
        <f>'Serviços eventuais'!B30</f>
        <v>PROPRIA</v>
      </c>
      <c r="H123" s="53"/>
    </row>
    <row r="124" spans="1:8" s="44" customFormat="1" ht="25.5">
      <c r="A124" s="49" t="str">
        <f>'Serviços eventuais'!A31</f>
        <v>3.28</v>
      </c>
      <c r="B124" s="50" t="str">
        <f>'Serviços eventuais'!C31</f>
        <v>PINTURA COM TINTA PROTETORA ACABAMENTO GRAFITE ESMALTE SOBRE SUPERFICIE METALICA, 2 DEMAOS</v>
      </c>
      <c r="C124" s="51" t="str">
        <f>'Serviços eventuais'!D31</f>
        <v>M2</v>
      </c>
      <c r="D124" s="51">
        <f>'Serviços eventuais'!E31</f>
        <v>60</v>
      </c>
      <c r="E124" s="496">
        <f>'Serviços eventuais'!F31</f>
        <v>50.063000000000002</v>
      </c>
      <c r="F124" s="496">
        <f>'Serviços eventuais'!G31</f>
        <v>3003.78</v>
      </c>
      <c r="G124" s="52" t="str">
        <f>'Serviços eventuais'!B31</f>
        <v>PROPRIA</v>
      </c>
      <c r="H124" s="53"/>
    </row>
    <row r="125" spans="1:8" s="44" customFormat="1" ht="25.5">
      <c r="A125" s="49" t="str">
        <f>'Serviços eventuais'!A32</f>
        <v>3.29</v>
      </c>
      <c r="B125" s="50" t="str">
        <f>'Serviços eventuais'!C32</f>
        <v>PINTURA ESMALTE ACETINADO, DUAS DEMAOS, SOBRE SUPERFICIE METALICA - VIGAS METALICAS INTERNAS</v>
      </c>
      <c r="C125" s="51" t="str">
        <f>'Serviços eventuais'!D32</f>
        <v>M2</v>
      </c>
      <c r="D125" s="51">
        <f>'Serviços eventuais'!E32</f>
        <v>240</v>
      </c>
      <c r="E125" s="496">
        <f>'Serviços eventuais'!F32</f>
        <v>37.245199999999997</v>
      </c>
      <c r="F125" s="496">
        <f>'Serviços eventuais'!G32</f>
        <v>8938.84</v>
      </c>
      <c r="G125" s="52" t="str">
        <f>'Serviços eventuais'!B32</f>
        <v>PROPRIA</v>
      </c>
      <c r="H125" s="53"/>
    </row>
    <row r="126" spans="1:8" s="44" customFormat="1" ht="25.5">
      <c r="A126" s="49" t="str">
        <f>'Serviços eventuais'!A33</f>
        <v>3.30</v>
      </c>
      <c r="B126" s="50" t="str">
        <f>'Serviços eventuais'!C33</f>
        <v>FUNDO PREPARADOR PRIMER SINTETICO, PARA ESTRUTURA METALICA, UMA DEMÃO, ESPESSURA DE 25 MICRA</v>
      </c>
      <c r="C126" s="51" t="str">
        <f>'Serviços eventuais'!D33</f>
        <v>M2</v>
      </c>
      <c r="D126" s="51">
        <f>'Serviços eventuais'!E33</f>
        <v>100</v>
      </c>
      <c r="E126" s="496">
        <f>'Serviços eventuais'!F33</f>
        <v>10.244578000000001</v>
      </c>
      <c r="F126" s="496">
        <f>'Serviços eventuais'!G33</f>
        <v>1024.45</v>
      </c>
      <c r="G126" s="52" t="str">
        <f>'Serviços eventuais'!B33</f>
        <v>PROPRIA</v>
      </c>
      <c r="H126" s="53"/>
    </row>
    <row r="127" spans="1:8" s="44" customFormat="1">
      <c r="A127" s="49" t="str">
        <f>'Serviços eventuais'!A34</f>
        <v>3.31</v>
      </c>
      <c r="B127" s="50" t="str">
        <f>'Serviços eventuais'!C34</f>
        <v>PINTURA DE BATE RODAS INSTALADOS NOS SUBSOLOS</v>
      </c>
      <c r="C127" s="51" t="str">
        <f>'Serviços eventuais'!D34</f>
        <v>M2</v>
      </c>
      <c r="D127" s="51">
        <f>'Serviços eventuais'!E34</f>
        <v>150</v>
      </c>
      <c r="E127" s="496">
        <f>'Serviços eventuais'!F34</f>
        <v>37.245199999999997</v>
      </c>
      <c r="F127" s="496">
        <f>'Serviços eventuais'!G34</f>
        <v>5586.78</v>
      </c>
      <c r="G127" s="52" t="str">
        <f>'Serviços eventuais'!B34</f>
        <v>PROPRIA</v>
      </c>
      <c r="H127" s="53"/>
    </row>
    <row r="128" spans="1:8" s="44" customFormat="1" ht="25.5">
      <c r="A128" s="49" t="str">
        <f>'Serviços eventuais'!A35</f>
        <v>3.32</v>
      </c>
      <c r="B128" s="50" t="str">
        <f>'Serviços eventuais'!C35</f>
        <v>REVESTIMENTO EM LAMINADO MELAMINICO LISO VERDE, ESPESSURA 0,8 MM, FIXADO COM COLA</v>
      </c>
      <c r="C128" s="51" t="str">
        <f>'Serviços eventuais'!D35</f>
        <v>M2</v>
      </c>
      <c r="D128" s="51">
        <f>'Serviços eventuais'!E35</f>
        <v>25</v>
      </c>
      <c r="E128" s="496">
        <f>'Serviços eventuais'!F35</f>
        <v>153.62280000000001</v>
      </c>
      <c r="F128" s="496">
        <f>'Serviços eventuais'!G35</f>
        <v>3840.57</v>
      </c>
      <c r="G128" s="52" t="str">
        <f>'Serviços eventuais'!B35</f>
        <v>PROPRIA</v>
      </c>
      <c r="H128" s="53"/>
    </row>
    <row r="129" spans="1:8" s="44" customFormat="1">
      <c r="A129" s="49" t="str">
        <f>'Serviços eventuais'!A36</f>
        <v>3.33</v>
      </c>
      <c r="B129" s="50" t="str">
        <f>'Serviços eventuais'!C36</f>
        <v>CANTONEIRA DE ALUMINIO 1"X1, PARA PROTECAO DE QUINA DE PAREDE</v>
      </c>
      <c r="C129" s="51" t="str">
        <f>'Serviços eventuais'!D36</f>
        <v>M</v>
      </c>
      <c r="D129" s="51">
        <f>'Serviços eventuais'!E36</f>
        <v>15</v>
      </c>
      <c r="E129" s="496">
        <f>'Serviços eventuais'!F36</f>
        <v>46.118000000000002</v>
      </c>
      <c r="F129" s="496">
        <f>'Serviços eventuais'!G36</f>
        <v>691.77</v>
      </c>
      <c r="G129" s="52" t="str">
        <f>'Serviços eventuais'!B36</f>
        <v>PROPRIA</v>
      </c>
      <c r="H129" s="53"/>
    </row>
    <row r="130" spans="1:8" s="44" customFormat="1">
      <c r="A130" s="49" t="str">
        <f>'Serviços eventuais'!A37</f>
        <v>3.34</v>
      </c>
      <c r="B130" s="50" t="str">
        <f>'Serviços eventuais'!C37</f>
        <v>ISOLAMENTO TERMICO COM MANTA DE LA DE VIDRO, ESPESSURA 2,5CM</v>
      </c>
      <c r="C130" s="51" t="str">
        <f>'Serviços eventuais'!D37</f>
        <v>M2</v>
      </c>
      <c r="D130" s="51">
        <f>'Serviços eventuais'!E37</f>
        <v>20</v>
      </c>
      <c r="E130" s="496">
        <f>'Serviços eventuais'!F37</f>
        <v>111.54600000000001</v>
      </c>
      <c r="F130" s="496">
        <f>'Serviços eventuais'!G37</f>
        <v>2230.92</v>
      </c>
      <c r="G130" s="52" t="str">
        <f>'Serviços eventuais'!B37</f>
        <v>PROPRIA</v>
      </c>
      <c r="H130" s="53"/>
    </row>
    <row r="131" spans="1:8" s="44" customFormat="1">
      <c r="A131" s="49" t="str">
        <f>'Serviços eventuais'!A38</f>
        <v>3.35</v>
      </c>
      <c r="B131" s="50" t="str">
        <f>'Serviços eventuais'!C38</f>
        <v>Persiana horizontal em alumínio branca ou cinza 16mm</v>
      </c>
      <c r="C131" s="51" t="str">
        <f>'Serviços eventuais'!D38</f>
        <v>M2</v>
      </c>
      <c r="D131" s="51">
        <f>'Serviços eventuais'!E38</f>
        <v>100</v>
      </c>
      <c r="E131" s="496">
        <f>'Serviços eventuais'!F38</f>
        <v>140</v>
      </c>
      <c r="F131" s="496">
        <f>'Serviços eventuais'!G38</f>
        <v>14000</v>
      </c>
      <c r="G131" s="52" t="str">
        <f>'Serviços eventuais'!B38</f>
        <v>PROPRIA</v>
      </c>
      <c r="H131" s="53"/>
    </row>
    <row r="132" spans="1:8" s="44" customFormat="1" ht="25.5">
      <c r="A132" s="49" t="str">
        <f>'Serviços eventuais'!A39</f>
        <v>3.36</v>
      </c>
      <c r="B132" s="50" t="str">
        <f>'Serviços eventuais'!C39</f>
        <v>ALIZAR / GUARNIÇÃO DE 5X1,5CM PARA PORTA DE 60X210CM FIXADO COM PREGOS, PADRÃO MÉDIO - FORNECIMENTO E INSTALAÇÃO.</v>
      </c>
      <c r="C132" s="51" t="str">
        <f>'Serviços eventuais'!D39</f>
        <v>M</v>
      </c>
      <c r="D132" s="51">
        <f>'Serviços eventuais'!E39</f>
        <v>30</v>
      </c>
      <c r="E132" s="496">
        <f>'Serviços eventuais'!F39</f>
        <v>13.76</v>
      </c>
      <c r="F132" s="496">
        <f>'Serviços eventuais'!G39</f>
        <v>412.8</v>
      </c>
      <c r="G132" s="52">
        <f>'Serviços eventuais'!B39</f>
        <v>100659</v>
      </c>
      <c r="H132" s="53"/>
    </row>
    <row r="133" spans="1:8" s="44" customFormat="1" ht="25.5">
      <c r="A133" s="49" t="str">
        <f>'Serviços eventuais'!A40</f>
        <v>3.37</v>
      </c>
      <c r="B133" s="50" t="str">
        <f>'Serviços eventuais'!C40</f>
        <v>PORTA DE MADEIRA PARA PINTURA, SEMI-OCA (LEVE OU MÉDIA), 90X210CM, ESPESSURA DE 3,5CM, INCLUSO DOBRADIÇAS - FORNECIMENTO E INSTALAÇÃO.</v>
      </c>
      <c r="C133" s="51" t="str">
        <f>'Serviços eventuais'!D40</f>
        <v>UN</v>
      </c>
      <c r="D133" s="51">
        <f>'Serviços eventuais'!E40</f>
        <v>3</v>
      </c>
      <c r="E133" s="496">
        <f>'Serviços eventuais'!F40</f>
        <v>474.33</v>
      </c>
      <c r="F133" s="496">
        <f>'Serviços eventuais'!G40</f>
        <v>1422.99</v>
      </c>
      <c r="G133" s="52" t="str">
        <f>'Serviços eventuais'!B40</f>
        <v>90823</v>
      </c>
      <c r="H133" s="53"/>
    </row>
    <row r="134" spans="1:8" s="44" customFormat="1" ht="25.5">
      <c r="A134" s="49" t="str">
        <f>'Serviços eventuais'!A41</f>
        <v>3.38</v>
      </c>
      <c r="B134" s="50" t="str">
        <f>'Serviços eventuais'!C41</f>
        <v>PORTA EM ALUMÍNIO DE ABRIR TIPO VENEZIANA COM GUARNIÇÃO, FIXAÇÃO COM PARAFUSOS, FORNECIMENTO E INSTALAÇÃO</v>
      </c>
      <c r="C134" s="51" t="str">
        <f>'Serviços eventuais'!D41</f>
        <v>M2</v>
      </c>
      <c r="D134" s="51">
        <f>'Serviços eventuais'!E41</f>
        <v>2</v>
      </c>
      <c r="E134" s="496">
        <f>'Serviços eventuais'!F41</f>
        <v>510.62</v>
      </c>
      <c r="F134" s="496">
        <f>'Serviços eventuais'!G41</f>
        <v>1021.24</v>
      </c>
      <c r="G134" s="52">
        <f>'Serviços eventuais'!B41</f>
        <v>91341</v>
      </c>
      <c r="H134" s="53"/>
    </row>
    <row r="135" spans="1:8" s="44" customFormat="1">
      <c r="A135" s="49" t="str">
        <f>'Serviços eventuais'!A42</f>
        <v>3.39</v>
      </c>
      <c r="B135" s="50" t="str">
        <f>'Serviços eventuais'!C42</f>
        <v>PORTA CORTA-FOGO 90X210X4CM - FORNECIMENTO E INSTALAÇÃO</v>
      </c>
      <c r="C135" s="51" t="str">
        <f>'Serviços eventuais'!D42</f>
        <v>UN</v>
      </c>
      <c r="D135" s="51">
        <f>'Serviços eventuais'!E42</f>
        <v>1</v>
      </c>
      <c r="E135" s="496">
        <f>'Serviços eventuais'!F42</f>
        <v>1336.21</v>
      </c>
      <c r="F135" s="496">
        <f>'Serviços eventuais'!G42</f>
        <v>1336.21</v>
      </c>
      <c r="G135" s="52" t="str">
        <f>'Serviços eventuais'!B42</f>
        <v>90838</v>
      </c>
      <c r="H135" s="53"/>
    </row>
    <row r="136" spans="1:8" s="44" customFormat="1" ht="51">
      <c r="A136" s="49" t="str">
        <f>'Serviços eventuais'!A43</f>
        <v>3.40</v>
      </c>
      <c r="B136" s="50" t="str">
        <f>'Serviços eventuais'!C43</f>
        <v>KIT DE PORTA DE MADEIRA PARA PINTURA, SEMI-OCA (LEVE OU MÉDIA), PADRÃO MÉDIO, 90X210CM, ESPESSURA DE 3,5CM, ITENS INCLUSOS: DOBRADIÇAS, MONTAGEM E INSTALAÇÃO DO BATENTE, FECHADURA COM EXECUÇÃO DO FURO - FORNECIMENTO E INSTALAÇÃO</v>
      </c>
      <c r="C136" s="51" t="str">
        <f>'Serviços eventuais'!D43</f>
        <v>UN</v>
      </c>
      <c r="D136" s="51">
        <f>'Serviços eventuais'!E43</f>
        <v>1</v>
      </c>
      <c r="E136" s="496">
        <f>'Serviços eventuais'!F43</f>
        <v>1284.04</v>
      </c>
      <c r="F136" s="496">
        <f>'Serviços eventuais'!G43</f>
        <v>1284.04</v>
      </c>
      <c r="G136" s="52" t="str">
        <f>'Serviços eventuais'!B43</f>
        <v>90844</v>
      </c>
      <c r="H136" s="53"/>
    </row>
    <row r="137" spans="1:8" s="44" customFormat="1" ht="25.5">
      <c r="A137" s="49" t="str">
        <f>'Serviços eventuais'!A44</f>
        <v>3.41</v>
      </c>
      <c r="B137" s="50" t="str">
        <f>'Serviços eventuais'!C44</f>
        <v xml:space="preserve">PORTA DE MADEIRA, SEMI-OCA (LEVE OU MÉDIA), 80X210CM, ESPESSURA DE 3,5CM, INCLUSO DOBRADIÇAS - FORNECIMENTO E INSTALAÇÃO. </v>
      </c>
      <c r="C137" s="51" t="str">
        <f>'Serviços eventuais'!D44</f>
        <v>UN</v>
      </c>
      <c r="D137" s="51">
        <f>'Serviços eventuais'!E44</f>
        <v>2</v>
      </c>
      <c r="E137" s="496">
        <f>'Serviços eventuais'!F44</f>
        <v>443.56</v>
      </c>
      <c r="F137" s="496">
        <f>'Serviços eventuais'!G44</f>
        <v>887.12</v>
      </c>
      <c r="G137" s="52">
        <f>'Serviços eventuais'!B44</f>
        <v>91297</v>
      </c>
      <c r="H137" s="53"/>
    </row>
    <row r="138" spans="1:8" s="44" customFormat="1">
      <c r="A138" s="49" t="str">
        <f>'Serviços eventuais'!A45</f>
        <v>3.42</v>
      </c>
      <c r="B138" s="50" t="str">
        <f>'Serviços eventuais'!C45</f>
        <v>Pintura com esmalte retardante ao fogo (para porta corta-fogo)</v>
      </c>
      <c r="C138" s="51" t="str">
        <f>'Serviços eventuais'!D45</f>
        <v>M2</v>
      </c>
      <c r="D138" s="51">
        <f>'Serviços eventuais'!E45</f>
        <v>24</v>
      </c>
      <c r="E138" s="496">
        <f>'Serviços eventuais'!F45</f>
        <v>39.054356296296291</v>
      </c>
      <c r="F138" s="496">
        <f>'Serviços eventuais'!G45</f>
        <v>937.3</v>
      </c>
      <c r="G138" s="52" t="str">
        <f>'Serviços eventuais'!B45</f>
        <v>PROPRIA</v>
      </c>
      <c r="H138" s="53"/>
    </row>
    <row r="139" spans="1:8" s="44" customFormat="1">
      <c r="A139" s="49" t="str">
        <f>'Serviços eventuais'!A46</f>
        <v>3.43</v>
      </c>
      <c r="B139" s="50" t="str">
        <f>'Serviços eventuais'!C46</f>
        <v>RETIRADA DE DIVISORIAS EM CHAPAS DE MADEIRA, COM MONTANTES METALICOS</v>
      </c>
      <c r="C139" s="51" t="str">
        <f>'Serviços eventuais'!D46</f>
        <v>M2</v>
      </c>
      <c r="D139" s="51">
        <f>'Serviços eventuais'!E46</f>
        <v>168</v>
      </c>
      <c r="E139" s="496">
        <f>'Serviços eventuais'!F46</f>
        <v>33.54</v>
      </c>
      <c r="F139" s="496">
        <f>'Serviços eventuais'!G46</f>
        <v>5634.72</v>
      </c>
      <c r="G139" s="52" t="str">
        <f>'Serviços eventuais'!B46</f>
        <v>72178</v>
      </c>
      <c r="H139" s="53"/>
    </row>
    <row r="140" spans="1:8" s="44" customFormat="1" ht="25.5">
      <c r="A140" s="49" t="str">
        <f>'Serviços eventuais'!A47</f>
        <v>3.44</v>
      </c>
      <c r="B140" s="50" t="str">
        <f>'Serviços eventuais'!C47</f>
        <v>RECOLOCACAO DE DIVISORIAS TIPO CHAPAS OU TABUAS, INCLUSIVE ENTARUGAMENTO, CONSIDERANDO REAPROVEITAMENTO DO MATERIAL</v>
      </c>
      <c r="C140" s="51" t="str">
        <f>'Serviços eventuais'!D47</f>
        <v>M2</v>
      </c>
      <c r="D140" s="51">
        <f>'Serviços eventuais'!E47</f>
        <v>168</v>
      </c>
      <c r="E140" s="496">
        <f>'Serviços eventuais'!F47</f>
        <v>43.908000000000001</v>
      </c>
      <c r="F140" s="496">
        <f>'Serviços eventuais'!G47</f>
        <v>7376.54</v>
      </c>
      <c r="G140" s="52" t="str">
        <f>'Serviços eventuais'!B47</f>
        <v>PROPRIA</v>
      </c>
      <c r="H140" s="53"/>
    </row>
    <row r="141" spans="1:8" s="44" customFormat="1">
      <c r="A141" s="49" t="str">
        <f>'Serviços eventuais'!A48</f>
        <v>3.45</v>
      </c>
      <c r="B141" s="50" t="str">
        <f>'Serviços eventuais'!C48</f>
        <v>CORRIMÃO SIMPLES, DIÂMETRO EXTERNO = 1 1/2, EM AÇO GALVANIZADO</v>
      </c>
      <c r="C141" s="51" t="str">
        <f>'Serviços eventuais'!D48</f>
        <v>M</v>
      </c>
      <c r="D141" s="51">
        <f>'Serviços eventuais'!E48</f>
        <v>12</v>
      </c>
      <c r="E141" s="496">
        <f>'Serviços eventuais'!F48</f>
        <v>126.37</v>
      </c>
      <c r="F141" s="496">
        <f>'Serviços eventuais'!G48</f>
        <v>1516.44</v>
      </c>
      <c r="G141" s="52" t="str">
        <f>'Serviços eventuais'!B48</f>
        <v>99855</v>
      </c>
      <c r="H141" s="53"/>
    </row>
    <row r="142" spans="1:8" s="44" customFormat="1">
      <c r="A142" s="49" t="str">
        <f>'Serviços eventuais'!A49</f>
        <v>3.46</v>
      </c>
      <c r="B142" s="50" t="str">
        <f>'Serviços eventuais'!C49</f>
        <v>CORRIMÃO SIMPLES, DIÂMETRO EXTERNO = 1 1/2, EM ALUMÍNIO</v>
      </c>
      <c r="C142" s="51" t="str">
        <f>'Serviços eventuais'!D49</f>
        <v>M</v>
      </c>
      <c r="D142" s="51">
        <f>'Serviços eventuais'!E49</f>
        <v>12</v>
      </c>
      <c r="E142" s="496">
        <f>'Serviços eventuais'!F49</f>
        <v>96.84</v>
      </c>
      <c r="F142" s="496">
        <f>'Serviços eventuais'!G49</f>
        <v>1162.08</v>
      </c>
      <c r="G142" s="52" t="str">
        <f>'Serviços eventuais'!B49</f>
        <v>99857</v>
      </c>
      <c r="H142" s="53"/>
    </row>
    <row r="143" spans="1:8" s="44" customFormat="1">
      <c r="A143" s="49" t="str">
        <f>'Serviços eventuais'!A50</f>
        <v>3.47</v>
      </c>
      <c r="B143" s="50" t="str">
        <f>'Serviços eventuais'!C50</f>
        <v>EXECUÇÃO DE REVESTIMENTO DE PAREDES E LAMBRIL DE MADEIRA</v>
      </c>
      <c r="C143" s="51" t="str">
        <f>'Serviços eventuais'!D50</f>
        <v>M2</v>
      </c>
      <c r="D143" s="51">
        <f>'Serviços eventuais'!E50</f>
        <v>130</v>
      </c>
      <c r="E143" s="496">
        <f>'Serviços eventuais'!F50</f>
        <v>186.99098899999996</v>
      </c>
      <c r="F143" s="496">
        <f>'Serviços eventuais'!G50</f>
        <v>24308.82</v>
      </c>
      <c r="G143" s="52" t="str">
        <f>'Serviços eventuais'!B50</f>
        <v>PROPRIA</v>
      </c>
      <c r="H143" s="53"/>
    </row>
    <row r="144" spans="1:8" s="44" customFormat="1">
      <c r="A144" s="49" t="str">
        <f>'Serviços eventuais'!A51</f>
        <v>3.48</v>
      </c>
      <c r="B144" s="50" t="str">
        <f>'Serviços eventuais'!C51</f>
        <v>ESPELHO CRISTAL, ESPESSURA 4MM, COM PARAFUSOS DE FIXACAO, SEM MOLDURA</v>
      </c>
      <c r="C144" s="51" t="str">
        <f>'Serviços eventuais'!D51</f>
        <v>M2</v>
      </c>
      <c r="D144" s="51">
        <f>'Serviços eventuais'!E51</f>
        <v>4</v>
      </c>
      <c r="E144" s="496">
        <f>'Serviços eventuais'!F51</f>
        <v>294.99400000000003</v>
      </c>
      <c r="F144" s="496">
        <f>'Serviços eventuais'!G51</f>
        <v>1179.97</v>
      </c>
      <c r="G144" s="52" t="str">
        <f>'Serviços eventuais'!B51</f>
        <v>PROPRIA</v>
      </c>
      <c r="H144" s="53"/>
    </row>
    <row r="145" spans="1:8" s="44" customFormat="1" ht="25.5">
      <c r="A145" s="49" t="str">
        <f>'Serviços eventuais'!A52</f>
        <v>3.49</v>
      </c>
      <c r="B145" s="50" t="str">
        <f>'Serviços eventuais'!C52</f>
        <v>REVESTIMENTO CERÂMICO PARA PAREDES EXTERNAS EM PASTILHAS DE VIDRO 3 X 3 CM (PLACAS DE 30 X 30 CM), ALINHADAS A PRUMO</v>
      </c>
      <c r="C145" s="51" t="str">
        <f>'Serviços eventuais'!D52</f>
        <v>M2</v>
      </c>
      <c r="D145" s="51">
        <f>'Serviços eventuais'!E52</f>
        <v>10</v>
      </c>
      <c r="E145" s="496">
        <f>'Serviços eventuais'!F52</f>
        <v>261.54000000000002</v>
      </c>
      <c r="F145" s="496">
        <f>'Serviços eventuais'!G52</f>
        <v>2615.4</v>
      </c>
      <c r="G145" s="52">
        <f>'Serviços eventuais'!B52</f>
        <v>88788</v>
      </c>
      <c r="H145" s="53"/>
    </row>
    <row r="146" spans="1:8" s="44" customFormat="1" ht="13.5" customHeight="1">
      <c r="A146" s="49" t="str">
        <f>'Serviços eventuais'!A53</f>
        <v>3.50</v>
      </c>
      <c r="B146" s="50" t="str">
        <f>'Serviços eventuais'!C53</f>
        <v>REVESTIMENTO CERÂMICO PARA PAREDES INTERNAS COM PLACAS TIPO ESMALTADA EXTRA DE DIMENSÕES 20X20 CM APLICADAS EM AMBIENTES DE ÁREA MENOR QUE 5 M² NA ALTURA INTEIRA DAS PAREDES</v>
      </c>
      <c r="C146" s="51" t="str">
        <f>'Serviços eventuais'!D53</f>
        <v>M2</v>
      </c>
      <c r="D146" s="51">
        <f>'Serviços eventuais'!E53</f>
        <v>60</v>
      </c>
      <c r="E146" s="496">
        <f>'Serviços eventuais'!F53</f>
        <v>57.66</v>
      </c>
      <c r="F146" s="496">
        <f>'Serviços eventuais'!G53</f>
        <v>3459.6</v>
      </c>
      <c r="G146" s="52">
        <f>'Serviços eventuais'!B53</f>
        <v>87265</v>
      </c>
      <c r="H146" s="53"/>
    </row>
    <row r="147" spans="1:8" s="44" customFormat="1" ht="38.25">
      <c r="A147" s="49" t="str">
        <f>'Serviços eventuais'!A54</f>
        <v>3.51</v>
      </c>
      <c r="B147" s="50" t="str">
        <f>'Serviços eventuais'!C54</f>
        <v>IMPERMEABILIZAÇÃO CAIXA D'AGUA SUPERIOR com ARGAMASSA POLIMÉRICA COM ESPESSURA DE 1,0mm + MEMBRANA ACRÍLICA COM CIMENTO, COM ESPESSURA DE 3,0mm - 4 demãos</v>
      </c>
      <c r="C147" s="51" t="str">
        <f>'Serviços eventuais'!D54</f>
        <v>M2</v>
      </c>
      <c r="D147" s="51">
        <f>'Serviços eventuais'!E54</f>
        <v>110</v>
      </c>
      <c r="E147" s="496">
        <f>'Serviços eventuais'!F54</f>
        <v>54.57</v>
      </c>
      <c r="F147" s="496">
        <f>'Serviços eventuais'!G54</f>
        <v>6002.7</v>
      </c>
      <c r="G147" s="52">
        <f>'Serviços eventuais'!B54</f>
        <v>98556</v>
      </c>
      <c r="H147" s="53"/>
    </row>
    <row r="148" spans="1:8" s="44" customFormat="1" ht="25.5">
      <c r="A148" s="49" t="str">
        <f>'Serviços eventuais'!A55</f>
        <v>3.52</v>
      </c>
      <c r="B148" s="50" t="str">
        <f>'Serviços eventuais'!C55</f>
        <v>Pintura de concreto aparente, com lixamento e preparação de base, com resina acrilica impermeabilizante, 2 DEMAOS</v>
      </c>
      <c r="C148" s="51" t="str">
        <f>'Serviços eventuais'!D55</f>
        <v>M2</v>
      </c>
      <c r="D148" s="51">
        <f>'Serviços eventuais'!E55</f>
        <v>120</v>
      </c>
      <c r="E148" s="496">
        <f>'Serviços eventuais'!F55</f>
        <v>68.345400000000012</v>
      </c>
      <c r="F148" s="496">
        <f>'Serviços eventuais'!G55</f>
        <v>8201.44</v>
      </c>
      <c r="G148" s="52" t="str">
        <f>'Serviços eventuais'!B55</f>
        <v>PROPRIA</v>
      </c>
      <c r="H148" s="53"/>
    </row>
    <row r="149" spans="1:8" s="44" customFormat="1" ht="25.5">
      <c r="A149" s="49" t="str">
        <f>'Serviços eventuais'!A56</f>
        <v>3.53</v>
      </c>
      <c r="B149" s="50" t="str">
        <f>'Serviços eventuais'!C56</f>
        <v>VIDRO TEMPERADO INCOLOR, ESPESSURA 10MM, FORNECIMENTO E INSTALACAO, INCLUSIVE MASSA PARA VEDACAO</v>
      </c>
      <c r="C149" s="51" t="str">
        <f>'Serviços eventuais'!D56</f>
        <v>M2</v>
      </c>
      <c r="D149" s="51">
        <f>'Serviços eventuais'!E56</f>
        <v>30</v>
      </c>
      <c r="E149" s="496">
        <f>'Serviços eventuais'!F56</f>
        <v>234.65000000000003</v>
      </c>
      <c r="F149" s="496">
        <f>'Serviços eventuais'!G56</f>
        <v>7039.5</v>
      </c>
      <c r="G149" s="52" t="str">
        <f>'Serviços eventuais'!B56</f>
        <v>PROPRIA</v>
      </c>
      <c r="H149" s="53"/>
    </row>
    <row r="150" spans="1:8" s="44" customFormat="1">
      <c r="A150" s="49" t="str">
        <f>'Serviços eventuais'!A57</f>
        <v>3.54</v>
      </c>
      <c r="B150" s="50" t="str">
        <f>'Serviços eventuais'!C57</f>
        <v>INSTALAÇÃO DE VIDRO LAMINADO, E = 10 MM, ENCAIXADO EM PERFIL U</v>
      </c>
      <c r="C150" s="51" t="str">
        <f>'Serviços eventuais'!D57</f>
        <v>M2</v>
      </c>
      <c r="D150" s="51">
        <f>'Serviços eventuais'!E57</f>
        <v>15</v>
      </c>
      <c r="E150" s="496">
        <f>'Serviços eventuais'!F57</f>
        <v>492.97194000000002</v>
      </c>
      <c r="F150" s="496">
        <f>'Serviços eventuais'!G57</f>
        <v>7394.57</v>
      </c>
      <c r="G150" s="52" t="str">
        <f>'Serviços eventuais'!B57</f>
        <v>PROPRIA</v>
      </c>
      <c r="H150" s="53"/>
    </row>
    <row r="151" spans="1:8" s="44" customFormat="1" ht="25.5">
      <c r="A151" s="49" t="str">
        <f>'Serviços eventuais'!A58</f>
        <v>3.55</v>
      </c>
      <c r="B151" s="50" t="str">
        <f>'Serviços eventuais'!C58</f>
        <v>Limpeza e manutenção de PAINEL DE PROTEÇÃO SOLAR COM ESQUADRIA DE ALUMÍNIO e demais elementos de fachada</v>
      </c>
      <c r="C151" s="51" t="str">
        <f>'Serviços eventuais'!D58</f>
        <v>UNID</v>
      </c>
      <c r="D151" s="51">
        <f>'Serviços eventuais'!E58</f>
        <v>1</v>
      </c>
      <c r="E151" s="496">
        <f>'Serviços eventuais'!F58</f>
        <v>10604.019999999999</v>
      </c>
      <c r="F151" s="496">
        <f>'Serviços eventuais'!G58</f>
        <v>10604.02</v>
      </c>
      <c r="G151" s="52" t="str">
        <f>'Serviços eventuais'!B58</f>
        <v>PRÓPRIA</v>
      </c>
      <c r="H151" s="53"/>
    </row>
    <row r="152" spans="1:8" s="44" customFormat="1">
      <c r="A152" s="49" t="str">
        <f>'Serviços eventuais'!A59</f>
        <v>3.56</v>
      </c>
      <c r="B152" s="50" t="str">
        <f>'Serviços eventuais'!C59</f>
        <v>Manutenção e pintura de vigas e elementos metálicos das fachadas norte e sul</v>
      </c>
      <c r="C152" s="51" t="str">
        <f>'Serviços eventuais'!D59</f>
        <v>M2</v>
      </c>
      <c r="D152" s="51">
        <f>'Serviços eventuais'!E59</f>
        <v>230</v>
      </c>
      <c r="E152" s="496">
        <f>'Serviços eventuais'!F59</f>
        <v>180.603194</v>
      </c>
      <c r="F152" s="496">
        <f>'Serviços eventuais'!G59</f>
        <v>41538.730000000003</v>
      </c>
      <c r="G152" s="52" t="str">
        <f>'Serviços eventuais'!B59</f>
        <v>PRÓPRIA</v>
      </c>
      <c r="H152" s="53"/>
    </row>
    <row r="153" spans="1:8" s="44" customFormat="1">
      <c r="A153" s="49" t="str">
        <f>'Serviços eventuais'!A60</f>
        <v>3.57</v>
      </c>
      <c r="B153" s="50" t="str">
        <f>'Serviços eventuais'!C60</f>
        <v>Execução de Mastro para bandeiras</v>
      </c>
      <c r="C153" s="51" t="str">
        <f>'Serviços eventuais'!D60</f>
        <v>cj</v>
      </c>
      <c r="D153" s="51">
        <f>'Serviços eventuais'!E60</f>
        <v>1</v>
      </c>
      <c r="E153" s="496">
        <f>'Serviços eventuais'!F60</f>
        <v>9590.8399559999998</v>
      </c>
      <c r="F153" s="496">
        <f>'Serviços eventuais'!G60</f>
        <v>9590.83</v>
      </c>
      <c r="G153" s="52" t="str">
        <f>'Serviços eventuais'!B60</f>
        <v>PROPRIA</v>
      </c>
      <c r="H153" s="53"/>
    </row>
    <row r="154" spans="1:8" s="44" customFormat="1">
      <c r="A154" s="49" t="str">
        <f>'Serviços eventuais'!A61</f>
        <v>3.58</v>
      </c>
      <c r="B154" s="50" t="str">
        <f>'Serviços eventuais'!C61</f>
        <v>PLANTIO DE FORRAÇÃO/ARBUSTOS</v>
      </c>
      <c r="C154" s="51" t="str">
        <f>'Serviços eventuais'!D61</f>
        <v>VB</v>
      </c>
      <c r="D154" s="51">
        <f>'Serviços eventuais'!E61</f>
        <v>1</v>
      </c>
      <c r="E154" s="496">
        <f>'Serviços eventuais'!F61</f>
        <v>21499.99</v>
      </c>
      <c r="F154" s="496">
        <f>'Serviços eventuais'!G61</f>
        <v>21499.99</v>
      </c>
      <c r="G154" s="52" t="str">
        <f>'Serviços eventuais'!B61</f>
        <v>PROPRIA</v>
      </c>
      <c r="H154" s="53"/>
    </row>
    <row r="155" spans="1:8" s="44" customFormat="1">
      <c r="A155" s="49" t="str">
        <f>'Serviços eventuais'!A62</f>
        <v>3.59</v>
      </c>
      <c r="B155" s="50" t="str">
        <f>'Serviços eventuais'!C62</f>
        <v>PLANTIO DE GRAMA ESMERALDA OU SÃO CARLOS OU CURITIBANA, EM PLACAS</v>
      </c>
      <c r="C155" s="51" t="str">
        <f>'Serviços eventuais'!D62</f>
        <v>M2</v>
      </c>
      <c r="D155" s="51">
        <f>'Serviços eventuais'!E62</f>
        <v>250</v>
      </c>
      <c r="E155" s="496">
        <f>'Serviços eventuais'!F62</f>
        <v>19.82</v>
      </c>
      <c r="F155" s="496">
        <f>'Serviços eventuais'!G62</f>
        <v>4955</v>
      </c>
      <c r="G155" s="52" t="str">
        <f>'Serviços eventuais'!B62</f>
        <v>103946</v>
      </c>
      <c r="H155" s="53"/>
    </row>
    <row r="156" spans="1:8" s="44" customFormat="1" ht="25.5">
      <c r="A156" s="49" t="str">
        <f>'Serviços eventuais'!A63</f>
        <v>3.60</v>
      </c>
      <c r="B156" s="50" t="str">
        <f>'Serviços eventuais'!C63</f>
        <v>GRELHA DE FERRO FUNDIDO SIMPLES COM REQUADRO, 150 X 1000 MM, ASSENTADA COM ARGAMASSA 1 : 3 CIMENTO: AREIA - FORNECIMENTO E INSTALAÇÃO</v>
      </c>
      <c r="C156" s="51" t="str">
        <f>'Serviços eventuais'!D63</f>
        <v>UN</v>
      </c>
      <c r="D156" s="51">
        <f>'Serviços eventuais'!E63</f>
        <v>3</v>
      </c>
      <c r="E156" s="496">
        <f>'Serviços eventuais'!F63</f>
        <v>239.92</v>
      </c>
      <c r="F156" s="496">
        <f>'Serviços eventuais'!G63</f>
        <v>719.76</v>
      </c>
      <c r="G156" s="52">
        <f>'Serviços eventuais'!B63</f>
        <v>103001</v>
      </c>
      <c r="H156" s="53"/>
    </row>
    <row r="157" spans="1:8" s="44" customFormat="1" ht="25.5">
      <c r="A157" s="49" t="str">
        <f>'Serviços eventuais'!A64</f>
        <v>3.61</v>
      </c>
      <c r="B157" s="50" t="str">
        <f>'Serviços eventuais'!C64</f>
        <v>CALHA EM CHAPA DE AÇO GALVANIZADO NÚMERO 24, DESENVOLVIMENTO DE 100 CM , INCLUSO TRANSPORTE VERTICAL</v>
      </c>
      <c r="C157" s="51" t="str">
        <f>'Serviços eventuais'!D64</f>
        <v>M</v>
      </c>
      <c r="D157" s="51">
        <f>'Serviços eventuais'!E64</f>
        <v>15</v>
      </c>
      <c r="E157" s="496">
        <f>'Serviços eventuais'!F64</f>
        <v>174.91</v>
      </c>
      <c r="F157" s="496">
        <f>'Serviços eventuais'!G64</f>
        <v>2623.65</v>
      </c>
      <c r="G157" s="52">
        <f>'Serviços eventuais'!B64</f>
        <v>94229</v>
      </c>
      <c r="H157" s="53"/>
    </row>
    <row r="158" spans="1:8" s="44" customFormat="1" ht="25.5">
      <c r="A158" s="49" t="str">
        <f>'Serviços eventuais'!A65</f>
        <v>3.62</v>
      </c>
      <c r="B158" s="50" t="str">
        <f>'Serviços eventuais'!C65</f>
        <v>RUFO EM CHAPA DE AÇO GALVANIZADO NÚMERO 24, CORTE DE 25 CM, INCLUSO TRANSPORTE VERTICAL</v>
      </c>
      <c r="C158" s="51" t="str">
        <f>'Serviços eventuais'!D65</f>
        <v>M</v>
      </c>
      <c r="D158" s="51">
        <f>'Serviços eventuais'!E65</f>
        <v>15</v>
      </c>
      <c r="E158" s="496">
        <f>'Serviços eventuais'!F65</f>
        <v>54.06</v>
      </c>
      <c r="F158" s="496">
        <f>'Serviços eventuais'!G65</f>
        <v>810.9</v>
      </c>
      <c r="G158" s="52">
        <f>'Serviços eventuais'!B65</f>
        <v>94231</v>
      </c>
      <c r="H158" s="53"/>
    </row>
    <row r="159" spans="1:8" s="44" customFormat="1" ht="25.5">
      <c r="A159" s="49" t="str">
        <f>'Serviços eventuais'!A66</f>
        <v>3.63</v>
      </c>
      <c r="B159" s="50" t="str">
        <f>'Serviços eventuais'!C66</f>
        <v xml:space="preserve">TUBO, PVC, SOLDÁVEL, DN 25MM, INSTALADO EM RAMAL OU SUB-RAMAL DE ÁGUA - FORNECIMENTO E INSTALAÇÃO. </v>
      </c>
      <c r="C159" s="51" t="str">
        <f>'Serviços eventuais'!D66</f>
        <v>M</v>
      </c>
      <c r="D159" s="51">
        <f>'Serviços eventuais'!E66</f>
        <v>5</v>
      </c>
      <c r="E159" s="496">
        <f>'Serviços eventuais'!F66</f>
        <v>24.15</v>
      </c>
      <c r="F159" s="496">
        <f>'Serviços eventuais'!G66</f>
        <v>120.75</v>
      </c>
      <c r="G159" s="52" t="str">
        <f>'Serviços eventuais'!B66</f>
        <v>89356</v>
      </c>
      <c r="H159" s="53"/>
    </row>
    <row r="160" spans="1:8" s="44" customFormat="1" ht="15.75" customHeight="1">
      <c r="A160" s="49" t="str">
        <f>'Serviços eventuais'!A67</f>
        <v>3.64</v>
      </c>
      <c r="B160" s="50" t="str">
        <f>'Serviços eventuais'!C67</f>
        <v xml:space="preserve">TUBO, PVC, SOLDÁVEL, DN 32MM, INSTALADO EM RAMAL OU SUB-RAMAL DE ÁGUA - FORNECIMENTO E INSTALAÇÃO. </v>
      </c>
      <c r="C160" s="51" t="str">
        <f>'Serviços eventuais'!D67</f>
        <v>M</v>
      </c>
      <c r="D160" s="51">
        <f>'Serviços eventuais'!E67</f>
        <v>5</v>
      </c>
      <c r="E160" s="496">
        <f>'Serviços eventuais'!F67</f>
        <v>33.06</v>
      </c>
      <c r="F160" s="496">
        <f>'Serviços eventuais'!G67</f>
        <v>165.3</v>
      </c>
      <c r="G160" s="52" t="str">
        <f>'Serviços eventuais'!B67</f>
        <v>89357</v>
      </c>
      <c r="H160" s="53"/>
    </row>
    <row r="161" spans="1:8" s="44" customFormat="1" ht="25.5">
      <c r="A161" s="49" t="str">
        <f>'Serviços eventuais'!A68</f>
        <v>3.65</v>
      </c>
      <c r="B161" s="50" t="str">
        <f>'Serviços eventuais'!C68</f>
        <v xml:space="preserve">TUBO PVC, SÉRIE R, ÁGUA PLUVIAL, DN 100 MM, FORNECIDO E INSTALADO EM RAMAL DE ENCAMINHAMENTO. </v>
      </c>
      <c r="C161" s="51" t="str">
        <f>'Serviços eventuais'!D68</f>
        <v>M</v>
      </c>
      <c r="D161" s="51">
        <f>'Serviços eventuais'!E68</f>
        <v>5</v>
      </c>
      <c r="E161" s="496">
        <f>'Serviços eventuais'!F68</f>
        <v>50.3</v>
      </c>
      <c r="F161" s="496">
        <f>'Serviços eventuais'!G68</f>
        <v>251.5</v>
      </c>
      <c r="G161" s="52" t="str">
        <f>'Serviços eventuais'!B68</f>
        <v>89512</v>
      </c>
      <c r="H161" s="53"/>
    </row>
    <row r="162" spans="1:8" s="44" customFormat="1" ht="25.5">
      <c r="A162" s="49" t="str">
        <f>'Serviços eventuais'!A69</f>
        <v>3.66</v>
      </c>
      <c r="B162" s="50" t="str">
        <f>'Serviços eventuais'!C69</f>
        <v>TUBO PVC, SERIE NORMAL, ESGOTO PREDIAL, DN 100 MM, FORNECIDO E INSTALADO EM RAMAL DE DESCARGA OU RAMAL DE ESGOTO SANITÁRIO.</v>
      </c>
      <c r="C162" s="51" t="str">
        <f>'Serviços eventuais'!D69</f>
        <v>M</v>
      </c>
      <c r="D162" s="51">
        <f>'Serviços eventuais'!E69</f>
        <v>5</v>
      </c>
      <c r="E162" s="496">
        <f>'Serviços eventuais'!F69</f>
        <v>38.9</v>
      </c>
      <c r="F162" s="496">
        <f>'Serviços eventuais'!G69</f>
        <v>194.5</v>
      </c>
      <c r="G162" s="52" t="str">
        <f>'Serviços eventuais'!B69</f>
        <v>89714</v>
      </c>
      <c r="H162" s="53"/>
    </row>
    <row r="163" spans="1:8" s="44" customFormat="1" ht="25.5">
      <c r="A163" s="49" t="str">
        <f>'Serviços eventuais'!A70</f>
        <v>3.67</v>
      </c>
      <c r="B163" s="50" t="str">
        <f>'Serviços eventuais'!C70</f>
        <v>ELETRODUTO RÍGIDO ROSCÁVEL, PVC, DN 25 MM (3/4"), PARA CIRCUITOS TERMINAIS, INSTALADO EM PAREDE - FORNECIMENTO E INSTALAÇÃO.</v>
      </c>
      <c r="C163" s="51" t="str">
        <f>'Serviços eventuais'!D70</f>
        <v>M</v>
      </c>
      <c r="D163" s="51">
        <f>'Serviços eventuais'!E70</f>
        <v>10</v>
      </c>
      <c r="E163" s="496">
        <f>'Serviços eventuais'!F70</f>
        <v>15.26</v>
      </c>
      <c r="F163" s="496">
        <f>'Serviços eventuais'!G70</f>
        <v>152.6</v>
      </c>
      <c r="G163" s="52" t="str">
        <f>'Serviços eventuais'!B70</f>
        <v>91871</v>
      </c>
      <c r="H163" s="53"/>
    </row>
    <row r="164" spans="1:8" s="44" customFormat="1" ht="25.5">
      <c r="A164" s="49" t="str">
        <f>'Serviços eventuais'!A71</f>
        <v>3.68</v>
      </c>
      <c r="B164" s="50" t="str">
        <f>'Serviços eventuais'!C71</f>
        <v>LUVA PARA ELETRODUTO, PVC, ROSCÁVEL, DN 25 MM (3/4"), PARA CIRCUITOS TERMINAIS, INSTALADA EM FORRO - FORNECIMENTO E INSTALAÇÃO</v>
      </c>
      <c r="C164" s="51" t="str">
        <f>'Serviços eventuais'!D71</f>
        <v>UN</v>
      </c>
      <c r="D164" s="51">
        <f>'Serviços eventuais'!E71</f>
        <v>5</v>
      </c>
      <c r="E164" s="496">
        <f>'Serviços eventuais'!F71</f>
        <v>8.7100000000000009</v>
      </c>
      <c r="F164" s="496">
        <f>'Serviços eventuais'!G71</f>
        <v>43.55</v>
      </c>
      <c r="G164" s="52" t="str">
        <f>'Serviços eventuais'!B71</f>
        <v>91875</v>
      </c>
      <c r="H164" s="53"/>
    </row>
    <row r="165" spans="1:8" s="44" customFormat="1" ht="25.5">
      <c r="A165" s="49" t="str">
        <f>'Serviços eventuais'!A72</f>
        <v>3.69</v>
      </c>
      <c r="B165" s="50" t="str">
        <f>'Serviços eventuais'!C72</f>
        <v>CURVA 90 GRAUS PARA ELETRODUTO, PVC, ROSCÁVEL, DN 25 MM (3/4"), PARA CIRCUITOS TERMINAIS, INSTALADA EM FORRO - FORNECIMENTO E INSTALAÇÃO</v>
      </c>
      <c r="C165" s="51" t="str">
        <f>'Serviços eventuais'!D72</f>
        <v>UN</v>
      </c>
      <c r="D165" s="51">
        <f>'Serviços eventuais'!E72</f>
        <v>5</v>
      </c>
      <c r="E165" s="496">
        <f>'Serviços eventuais'!F72</f>
        <v>14.27</v>
      </c>
      <c r="F165" s="496">
        <f>'Serviços eventuais'!G72</f>
        <v>71.349999999999994</v>
      </c>
      <c r="G165" s="52" t="str">
        <f>'Serviços eventuais'!B72</f>
        <v>91890</v>
      </c>
      <c r="H165" s="53"/>
    </row>
    <row r="166" spans="1:8" s="44" customFormat="1" ht="25.5">
      <c r="A166" s="49" t="str">
        <f>'Serviços eventuais'!A73</f>
        <v>3.70</v>
      </c>
      <c r="B166" s="50" t="str">
        <f>'Serviços eventuais'!C73</f>
        <v>CABO DE COBRE FLEXÍVEL ISOLADO, 2,5 MM², ANTI-CHAMA 450/750 V, PARA CIRCUITOS TERMINAIS - FORNECIMENTO E INSTALAÇÃO</v>
      </c>
      <c r="C166" s="51" t="str">
        <f>'Serviços eventuais'!D73</f>
        <v>M</v>
      </c>
      <c r="D166" s="51">
        <f>'Serviços eventuais'!E73</f>
        <v>150</v>
      </c>
      <c r="E166" s="496">
        <f>'Serviços eventuais'!F73</f>
        <v>4.5599999999999996</v>
      </c>
      <c r="F166" s="496">
        <f>'Serviços eventuais'!G73</f>
        <v>684</v>
      </c>
      <c r="G166" s="52" t="str">
        <f>'Serviços eventuais'!B73</f>
        <v>91926</v>
      </c>
      <c r="H166" s="53"/>
    </row>
    <row r="167" spans="1:8" s="44" customFormat="1" ht="25.5">
      <c r="A167" s="49" t="str">
        <f>'Serviços eventuais'!A74</f>
        <v>3.71</v>
      </c>
      <c r="B167" s="50" t="str">
        <f>'Serviços eventuais'!C74</f>
        <v>CABO DE COBRE FLEXÍVEL ISOLADO, 4 MM², ANTI-CHAMA 450/750 V, PARA CIRCUITOS TERMINAIS - FORNECIMENTO E INSTALAÇÃO</v>
      </c>
      <c r="C167" s="51" t="str">
        <f>'Serviços eventuais'!D74</f>
        <v>M</v>
      </c>
      <c r="D167" s="51">
        <f>'Serviços eventuais'!E74</f>
        <v>100</v>
      </c>
      <c r="E167" s="496">
        <f>'Serviços eventuais'!F74</f>
        <v>7.08</v>
      </c>
      <c r="F167" s="496">
        <f>'Serviços eventuais'!G74</f>
        <v>708</v>
      </c>
      <c r="G167" s="52" t="str">
        <f>'Serviços eventuais'!B74</f>
        <v>91928</v>
      </c>
      <c r="H167" s="53"/>
    </row>
    <row r="168" spans="1:8" s="44" customFormat="1" ht="25.5">
      <c r="A168" s="49" t="str">
        <f>'Serviços eventuais'!A75</f>
        <v>3.72</v>
      </c>
      <c r="B168" s="50" t="str">
        <f>'Serviços eventuais'!C75</f>
        <v>CABO DE COBRE FLEXÍVEL ISOLADO, 6 MM², ANTI-CHAMA 450/750 V, PARA CIRCUITOS TERMINAIS - FORNECIMENTO E INSTALAÇÃO</v>
      </c>
      <c r="C168" s="51" t="str">
        <f>'Serviços eventuais'!D75</f>
        <v>M</v>
      </c>
      <c r="D168" s="51">
        <f>'Serviços eventuais'!E75</f>
        <v>50</v>
      </c>
      <c r="E168" s="496">
        <f>'Serviços eventuais'!F75</f>
        <v>9.9</v>
      </c>
      <c r="F168" s="496">
        <f>'Serviços eventuais'!G75</f>
        <v>495</v>
      </c>
      <c r="G168" s="52" t="str">
        <f>'Serviços eventuais'!B75</f>
        <v>91930</v>
      </c>
      <c r="H168" s="53"/>
    </row>
    <row r="169" spans="1:8" s="44" customFormat="1" ht="25.5">
      <c r="A169" s="49" t="str">
        <f>'Serviços eventuais'!A76</f>
        <v>3.73</v>
      </c>
      <c r="B169" s="50" t="str">
        <f>'Serviços eventuais'!C76</f>
        <v>CONDULETE DE ALUMÍNIO, TIPO LR, PARA ELETRODUTO DE AÇO GALVANIZADO DN 20 MM (3/4''), APARENTE - FORNECIMENTO E INSTALAÇÃO</v>
      </c>
      <c r="C169" s="51" t="str">
        <f>'Serviços eventuais'!D76</f>
        <v>UN</v>
      </c>
      <c r="D169" s="51">
        <f>'Serviços eventuais'!E76</f>
        <v>10</v>
      </c>
      <c r="E169" s="496">
        <f>'Serviços eventuais'!F76</f>
        <v>26.02</v>
      </c>
      <c r="F169" s="496">
        <f>'Serviços eventuais'!G76</f>
        <v>260.2</v>
      </c>
      <c r="G169" s="52" t="str">
        <f>'Serviços eventuais'!B76</f>
        <v>95787</v>
      </c>
      <c r="H169" s="53"/>
    </row>
    <row r="170" spans="1:8" s="44" customFormat="1" ht="25.5">
      <c r="A170" s="49" t="str">
        <f>'Serviços eventuais'!A77</f>
        <v>3.74</v>
      </c>
      <c r="B170" s="50" t="str">
        <f>'Serviços eventuais'!C77</f>
        <v>CONDULETE DE ALUMÍNIO, TIPO C, PARA ELETRODUTO DE AÇO GALVANIZADO DN 20 MM (3/4''), APARENTE - FORNECIMENTO E INSTALAÇÃO</v>
      </c>
      <c r="C170" s="51" t="str">
        <f>'Serviços eventuais'!D77</f>
        <v>UN</v>
      </c>
      <c r="D170" s="51">
        <f>'Serviços eventuais'!E77</f>
        <v>10</v>
      </c>
      <c r="E170" s="496">
        <f>'Serviços eventuais'!F77</f>
        <v>25.44</v>
      </c>
      <c r="F170" s="496">
        <f>'Serviços eventuais'!G77</f>
        <v>254.4</v>
      </c>
      <c r="G170" s="52" t="str">
        <f>'Serviços eventuais'!B77</f>
        <v>95778</v>
      </c>
      <c r="H170" s="53"/>
    </row>
    <row r="171" spans="1:8" s="44" customFormat="1" ht="25.5">
      <c r="A171" s="49" t="str">
        <f>'Serviços eventuais'!A78</f>
        <v>3.75</v>
      </c>
      <c r="B171" s="50" t="str">
        <f>'Serviços eventuais'!C78</f>
        <v>CONDULETE DE ALUMÍNIO, TIPO T, PARA ELETRODUTO DE AÇO GALVANIZADO DN 20 MM (3/4''), APARENTE - FORNECIMENTO E INSTALAÇÃO.</v>
      </c>
      <c r="C171" s="51" t="str">
        <f>'Serviços eventuais'!D78</f>
        <v>UN</v>
      </c>
      <c r="D171" s="51">
        <f>'Serviços eventuais'!E78</f>
        <v>10</v>
      </c>
      <c r="E171" s="496">
        <f>'Serviços eventuais'!F78</f>
        <v>29.61</v>
      </c>
      <c r="F171" s="496">
        <f>'Serviços eventuais'!G78</f>
        <v>296.10000000000002</v>
      </c>
      <c r="G171" s="52" t="str">
        <f>'Serviços eventuais'!B78</f>
        <v>95795</v>
      </c>
      <c r="H171" s="53"/>
    </row>
    <row r="172" spans="1:8" s="44" customFormat="1" ht="25.5">
      <c r="A172" s="49" t="str">
        <f>'Serviços eventuais'!A79</f>
        <v>3.76</v>
      </c>
      <c r="B172" s="50" t="str">
        <f>'Serviços eventuais'!C79</f>
        <v>CONDULETE DE PVC, TIPO LL/LR, PARA ELETRODUTO DE PVC SOLDÁVEL DN 25 MM (3/4''), APARENTE - FORNECIMENTO E INSTALAÇÃO</v>
      </c>
      <c r="C172" s="51" t="str">
        <f>'Serviços eventuais'!D79</f>
        <v>UN</v>
      </c>
      <c r="D172" s="51">
        <f>'Serviços eventuais'!E79</f>
        <v>10</v>
      </c>
      <c r="E172" s="496">
        <f>'Serviços eventuais'!F79</f>
        <v>32.409999999999997</v>
      </c>
      <c r="F172" s="496">
        <f>'Serviços eventuais'!G79</f>
        <v>324.10000000000002</v>
      </c>
      <c r="G172" s="52" t="str">
        <f>'Serviços eventuais'!B79</f>
        <v>95808</v>
      </c>
      <c r="H172" s="53"/>
    </row>
    <row r="173" spans="1:8" s="44" customFormat="1" ht="25.5">
      <c r="A173" s="49" t="str">
        <f>'Serviços eventuais'!A80</f>
        <v>3.77</v>
      </c>
      <c r="B173" s="50" t="str">
        <f>'Serviços eventuais'!C80</f>
        <v>ELETROCALHA LISA OU PERFURADA EM AÇO GALVANIZADO, LARGURA  100MM E ALTURA 50MM, INCLUSIVE EMENDA E FIXAÇÃO - FORNECIMENTO E INSTALAÇÃO</v>
      </c>
      <c r="C173" s="51" t="str">
        <f>'Serviços eventuais'!D80</f>
        <v>M</v>
      </c>
      <c r="D173" s="51">
        <f>'Serviços eventuais'!E80</f>
        <v>5</v>
      </c>
      <c r="E173" s="496">
        <f>'Serviços eventuais'!F80</f>
        <v>29.416130000000003</v>
      </c>
      <c r="F173" s="496">
        <f>'Serviços eventuais'!G80</f>
        <v>147.08000000000001</v>
      </c>
      <c r="G173" s="52" t="str">
        <f>'Serviços eventuais'!B80</f>
        <v>PROPRIA</v>
      </c>
      <c r="H173" s="53"/>
    </row>
    <row r="174" spans="1:8" s="44" customFormat="1" ht="25.5">
      <c r="A174" s="49" t="str">
        <f>'Serviços eventuais'!A81</f>
        <v>3.78</v>
      </c>
      <c r="B174" s="50" t="str">
        <f>'Serviços eventuais'!C81</f>
        <v>ELETROCALHA LISA OU PERFURADA EM AÇO GALVANIZADO, LARGURA 200MM E ALTURA 50MM, INCLUIVE EMENDA E FIXAÇÃO - FORNECIMENTO E INSTALAÇÃO</v>
      </c>
      <c r="C174" s="51" t="str">
        <f>'Serviços eventuais'!D81</f>
        <v>M</v>
      </c>
      <c r="D174" s="51">
        <f>'Serviços eventuais'!E81</f>
        <v>5</v>
      </c>
      <c r="E174" s="496">
        <f>'Serviços eventuais'!F81</f>
        <v>0</v>
      </c>
      <c r="F174" s="496">
        <f>'Serviços eventuais'!G81</f>
        <v>0</v>
      </c>
      <c r="G174" s="52">
        <f>'Serviços eventuais'!B81</f>
        <v>97241</v>
      </c>
      <c r="H174" s="53"/>
    </row>
    <row r="175" spans="1:8" s="44" customFormat="1">
      <c r="A175" s="49" t="str">
        <f>'Serviços eventuais'!A82</f>
        <v>3.79</v>
      </c>
      <c r="B175" s="50" t="str">
        <f>'Serviços eventuais'!C82</f>
        <v>Certificação de ponto lógico</v>
      </c>
      <c r="C175" s="51" t="str">
        <f>'Serviços eventuais'!D82</f>
        <v>unid</v>
      </c>
      <c r="D175" s="51">
        <f>'Serviços eventuais'!E82</f>
        <v>150</v>
      </c>
      <c r="E175" s="496">
        <f>'Serviços eventuais'!F82</f>
        <v>23.61</v>
      </c>
      <c r="F175" s="496">
        <f>'Serviços eventuais'!G82</f>
        <v>3541.5</v>
      </c>
      <c r="G175" s="52" t="str">
        <f>'Serviços eventuais'!B82</f>
        <v>PROPRIA</v>
      </c>
      <c r="H175" s="53"/>
    </row>
    <row r="176" spans="1:8" s="44" customFormat="1">
      <c r="A176" s="49" t="str">
        <f>'Serviços eventuais'!A83</f>
        <v>3.80</v>
      </c>
      <c r="B176" s="50" t="str">
        <f>'Serviços eventuais'!C83</f>
        <v>Limpeza de placas de sistema fotovoltaico</v>
      </c>
      <c r="C176" s="51" t="str">
        <f>'Serviços eventuais'!D83</f>
        <v>M2</v>
      </c>
      <c r="D176" s="51">
        <f>'Serviços eventuais'!E83</f>
        <v>500</v>
      </c>
      <c r="E176" s="496">
        <f>'Serviços eventuais'!F83</f>
        <v>5.5004</v>
      </c>
      <c r="F176" s="496">
        <f>'Serviços eventuais'!G83</f>
        <v>2750.2</v>
      </c>
      <c r="G176" s="52" t="str">
        <f>'Serviços eventuais'!B83</f>
        <v>PROPRIA</v>
      </c>
      <c r="H176" s="53"/>
    </row>
    <row r="177" spans="1:8" s="44" customFormat="1" ht="38.25">
      <c r="A177" s="49" t="str">
        <f>'Serviços eventuais'!A84</f>
        <v>3.81</v>
      </c>
      <c r="B177" s="50" t="str">
        <f>'Serviços eventuais'!C84</f>
        <v>TUBO DE AÇO GALVANIZADO COM COSTURA, CLASSE MÉDIA, DN 32 (1 1/4"), CONEXÃO ROSQUEADA, INSTALADO EM REDE DE ALIMENTAÇÃO PARA HIDRANTE - FORNECIMENTO E INSTALAÇÃO.</v>
      </c>
      <c r="C177" s="51" t="str">
        <f>'Serviços eventuais'!D84</f>
        <v>M</v>
      </c>
      <c r="D177" s="51">
        <f>'Serviços eventuais'!E84</f>
        <v>5</v>
      </c>
      <c r="E177" s="496">
        <f>'Serviços eventuais'!F84</f>
        <v>66.13</v>
      </c>
      <c r="F177" s="496">
        <f>'Serviços eventuais'!G84</f>
        <v>330.65</v>
      </c>
      <c r="G177" s="52" t="str">
        <f>'Serviços eventuais'!B84</f>
        <v>92364</v>
      </c>
      <c r="H177" s="53"/>
    </row>
    <row r="178" spans="1:8" s="44" customFormat="1" ht="38.25">
      <c r="A178" s="49" t="str">
        <f>'Serviços eventuais'!A85</f>
        <v>3.82</v>
      </c>
      <c r="B178" s="50" t="str">
        <f>'Serviços eventuais'!C85</f>
        <v>TUBO DE AÇO GALVANIZADO COM COSTURA, CLASSE MÉDIA, DN 40 (1 1/2"), CONEXÃO ROSQUEADA, INSTALADO EM REDE DE ALIMENTAÇÃO PARA HIDRANTE - FORNECIMENTO E INSTALAÇÃO.</v>
      </c>
      <c r="C178" s="51" t="str">
        <f>'Serviços eventuais'!D85</f>
        <v>M</v>
      </c>
      <c r="D178" s="51">
        <f>'Serviços eventuais'!E85</f>
        <v>4</v>
      </c>
      <c r="E178" s="496">
        <f>'Serviços eventuais'!F85</f>
        <v>76.17</v>
      </c>
      <c r="F178" s="496">
        <f>'Serviços eventuais'!G85</f>
        <v>304.68</v>
      </c>
      <c r="G178" s="52" t="str">
        <f>'Serviços eventuais'!B85</f>
        <v>92365</v>
      </c>
      <c r="H178" s="53"/>
    </row>
    <row r="179" spans="1:8" s="44" customFormat="1" ht="38.25">
      <c r="A179" s="49" t="str">
        <f>'Serviços eventuais'!A86</f>
        <v>3.83</v>
      </c>
      <c r="B179" s="50" t="str">
        <f>'Serviços eventuais'!C86</f>
        <v>TUBO DE AÇO GALVANIZADO COM COSTURA, CLASSE MÉDIA, CONEXÃO ROSQUEADA, DN 32 (1 1/4"), INSTALADO EM REDE DE ALIMENTAÇÃO PARA SPRINKLER - FORNECIMENTO E INSTALAÇÃO. AF_12/2015</v>
      </c>
      <c r="C179" s="51" t="str">
        <f>'Serviços eventuais'!D86</f>
        <v>M</v>
      </c>
      <c r="D179" s="51">
        <f>'Serviços eventuais'!E86</f>
        <v>4</v>
      </c>
      <c r="E179" s="496">
        <f>'Serviços eventuais'!F86</f>
        <v>71.12</v>
      </c>
      <c r="F179" s="496">
        <f>'Serviços eventuais'!G86</f>
        <v>284.48</v>
      </c>
      <c r="G179" s="52" t="str">
        <f>'Serviços eventuais'!B86</f>
        <v>92652</v>
      </c>
      <c r="H179" s="53"/>
    </row>
    <row r="180" spans="1:8" s="44" customFormat="1" ht="25.5">
      <c r="A180" s="49" t="str">
        <f>'Serviços eventuais'!A87</f>
        <v>3.84</v>
      </c>
      <c r="B180" s="50" t="str">
        <f>'Serviços eventuais'!C87</f>
        <v>EXTINTOR DE INCÊNDIO PORTÁTIL COM CARGA DE CO2 DE 6 KG, CLASSE BC - FORNECIMENTO E INSTALAÇÃO. AF_10/2020_PE</v>
      </c>
      <c r="C180" s="51" t="str">
        <f>'Serviços eventuais'!D87</f>
        <v>UN</v>
      </c>
      <c r="D180" s="51">
        <f>'Serviços eventuais'!E87</f>
        <v>1</v>
      </c>
      <c r="E180" s="496">
        <f>'Serviços eventuais'!F87</f>
        <v>684.99</v>
      </c>
      <c r="F180" s="496">
        <f>'Serviços eventuais'!G87</f>
        <v>684.99</v>
      </c>
      <c r="G180" s="52" t="str">
        <f>'Serviços eventuais'!B87</f>
        <v>101907</v>
      </c>
      <c r="H180" s="53"/>
    </row>
    <row r="181" spans="1:8" s="44" customFormat="1" ht="25.5">
      <c r="A181" s="49" t="str">
        <f>'Serviços eventuais'!A88</f>
        <v>3.85</v>
      </c>
      <c r="B181" s="50" t="str">
        <f>'Serviços eventuais'!C88</f>
        <v>EXTINTOR DE INCÊNDIO PORTÁTIL COM CARGA DE PQS DE 6 KG, CLASSE BC - FORNECIMENTO E INSTALAÇÃO. AF_10/2020_PE</v>
      </c>
      <c r="C181" s="51" t="str">
        <f>'Serviços eventuais'!D88</f>
        <v>UN</v>
      </c>
      <c r="D181" s="51">
        <f>'Serviços eventuais'!E88</f>
        <v>1</v>
      </c>
      <c r="E181" s="496">
        <f>'Serviços eventuais'!F88</f>
        <v>244.99</v>
      </c>
      <c r="F181" s="496">
        <f>'Serviços eventuais'!G88</f>
        <v>244.99</v>
      </c>
      <c r="G181" s="52" t="str">
        <f>'Serviços eventuais'!B88</f>
        <v>101909</v>
      </c>
      <c r="H181" s="53"/>
    </row>
    <row r="182" spans="1:8" s="44" customFormat="1">
      <c r="A182" s="49" t="str">
        <f>'Serviços eventuais'!A89</f>
        <v>3.86</v>
      </c>
      <c r="B182" s="50" t="str">
        <f>'Serviços eventuais'!C89</f>
        <v>REVISAO SISTEMA DE INCENDIO CONFORME PROJETO APROVADO</v>
      </c>
      <c r="C182" s="51">
        <f>'Serviços eventuais'!D89</f>
        <v>0</v>
      </c>
      <c r="D182" s="51">
        <f>'Serviços eventuais'!E89</f>
        <v>0</v>
      </c>
      <c r="E182" s="496">
        <f>'Serviços eventuais'!F89</f>
        <v>0</v>
      </c>
      <c r="F182" s="496">
        <f>'Serviços eventuais'!G89</f>
        <v>0</v>
      </c>
      <c r="G182" s="52">
        <f>'Serviços eventuais'!B89</f>
        <v>0</v>
      </c>
      <c r="H182" s="53"/>
    </row>
    <row r="183" spans="1:8" s="44" customFormat="1">
      <c r="A183" s="49" t="str">
        <f>'Serviços eventuais'!A90</f>
        <v>3.86.1</v>
      </c>
      <c r="B183" s="50" t="str">
        <f>'Serviços eventuais'!C90</f>
        <v>Bomba rotor 210 mm motor trifásico 380 V, 30 CV 3540 RPM (Conforme ET)</v>
      </c>
      <c r="C183" s="51" t="str">
        <f>'Serviços eventuais'!D90</f>
        <v>PÇ</v>
      </c>
      <c r="D183" s="51">
        <f>'Serviços eventuais'!E90</f>
        <v>2</v>
      </c>
      <c r="E183" s="496">
        <f>'Serviços eventuais'!F90</f>
        <v>21382.888333333336</v>
      </c>
      <c r="F183" s="496">
        <f>'Serviços eventuais'!G90</f>
        <v>42765.77</v>
      </c>
      <c r="G183" s="52" t="str">
        <f>'Serviços eventuais'!B90</f>
        <v>PROPRIA</v>
      </c>
      <c r="H183" s="53"/>
    </row>
    <row r="184" spans="1:8" s="44" customFormat="1">
      <c r="A184" s="49" t="str">
        <f>'Serviços eventuais'!A91</f>
        <v>3.86.2</v>
      </c>
      <c r="B184" s="50" t="str">
        <f>'Serviços eventuais'!C91</f>
        <v>Cotovelo 90º aço carbono 1", instalado na rede</v>
      </c>
      <c r="C184" s="51" t="str">
        <f>'Serviços eventuais'!D91</f>
        <v>PÇ</v>
      </c>
      <c r="D184" s="51">
        <f>'Serviços eventuais'!E91</f>
        <v>62</v>
      </c>
      <c r="E184" s="496">
        <f>'Serviços eventuais'!F91</f>
        <v>55.53</v>
      </c>
      <c r="F184" s="496">
        <f>'Serviços eventuais'!G91</f>
        <v>3442.86</v>
      </c>
      <c r="G184" s="52">
        <f>'Serviços eventuais'!B91</f>
        <v>92382</v>
      </c>
      <c r="H184" s="53"/>
    </row>
    <row r="185" spans="1:8" s="44" customFormat="1">
      <c r="A185" s="49" t="str">
        <f>'Serviços eventuais'!A92</f>
        <v>3.86.3</v>
      </c>
      <c r="B185" s="50" t="str">
        <f>'Serviços eventuais'!C92</f>
        <v>Redução concêntrica aço carbono 2” x 1.1/2”</v>
      </c>
      <c r="C185" s="51" t="str">
        <f>'Serviços eventuais'!D92</f>
        <v>PÇ</v>
      </c>
      <c r="D185" s="51">
        <f>'Serviços eventuais'!E92</f>
        <v>1</v>
      </c>
      <c r="E185" s="496">
        <f>'Serviços eventuais'!F92</f>
        <v>77.349999999999994</v>
      </c>
      <c r="F185" s="496">
        <f>'Serviços eventuais'!G92</f>
        <v>77.349999999999994</v>
      </c>
      <c r="G185" s="52">
        <f>'Serviços eventuais'!B92</f>
        <v>92907</v>
      </c>
      <c r="H185" s="53"/>
    </row>
    <row r="186" spans="1:8" s="44" customFormat="1">
      <c r="A186" s="49" t="str">
        <f>'Serviços eventuais'!A93</f>
        <v>3.86.4</v>
      </c>
      <c r="B186" s="50" t="str">
        <f>'Serviços eventuais'!C93</f>
        <v>Redução concêntrica aço carbono 2” x 1.1/4”</v>
      </c>
      <c r="C186" s="51" t="str">
        <f>'Serviços eventuais'!D93</f>
        <v>PÇ</v>
      </c>
      <c r="D186" s="51">
        <f>'Serviços eventuais'!E93</f>
        <v>1</v>
      </c>
      <c r="E186" s="496">
        <f>'Serviços eventuais'!F93</f>
        <v>82.004950000000008</v>
      </c>
      <c r="F186" s="496">
        <f>'Serviços eventuais'!G93</f>
        <v>82</v>
      </c>
      <c r="G186" s="52" t="str">
        <f>'Serviços eventuais'!B93</f>
        <v>PROPRIA</v>
      </c>
      <c r="H186" s="53"/>
    </row>
    <row r="187" spans="1:8" s="44" customFormat="1">
      <c r="A187" s="49" t="str">
        <f>'Serviços eventuais'!A94</f>
        <v>3.86.5</v>
      </c>
      <c r="B187" s="50" t="str">
        <f>'Serviços eventuais'!C94</f>
        <v>Redução concêntrica aço carbono 2"x1"</v>
      </c>
      <c r="C187" s="51" t="str">
        <f>'Serviços eventuais'!D94</f>
        <v>PÇ</v>
      </c>
      <c r="D187" s="51">
        <f>'Serviços eventuais'!E94</f>
        <v>3</v>
      </c>
      <c r="E187" s="496">
        <f>'Serviços eventuais'!F94</f>
        <v>82.004950000000008</v>
      </c>
      <c r="F187" s="496">
        <f>'Serviços eventuais'!G94</f>
        <v>246.01</v>
      </c>
      <c r="G187" s="52" t="str">
        <f>'Serviços eventuais'!B94</f>
        <v>PROPRIA</v>
      </c>
      <c r="H187" s="53"/>
    </row>
    <row r="188" spans="1:8" s="44" customFormat="1">
      <c r="A188" s="49" t="str">
        <f>'Serviços eventuais'!A95</f>
        <v>3.86.6</v>
      </c>
      <c r="B188" s="50" t="str">
        <f>'Serviços eventuais'!C95</f>
        <v>Redução concêntrica aço carbono 1.1/2"x1.1/4"</v>
      </c>
      <c r="C188" s="51" t="str">
        <f>'Serviços eventuais'!D95</f>
        <v>PÇ</v>
      </c>
      <c r="D188" s="51">
        <f>'Serviços eventuais'!E95</f>
        <v>3</v>
      </c>
      <c r="E188" s="496">
        <f>'Serviços eventuais'!F95</f>
        <v>65.544669999999996</v>
      </c>
      <c r="F188" s="496">
        <f>'Serviços eventuais'!G95</f>
        <v>196.63</v>
      </c>
      <c r="G188" s="52" t="str">
        <f>'Serviços eventuais'!B95</f>
        <v>PROPRIA</v>
      </c>
      <c r="H188" s="53"/>
    </row>
    <row r="189" spans="1:8" s="44" customFormat="1">
      <c r="A189" s="49" t="str">
        <f>'Serviços eventuais'!A96</f>
        <v>3.86.7</v>
      </c>
      <c r="B189" s="50" t="str">
        <f>'Serviços eventuais'!C96</f>
        <v>Redução concêntrica aço carbono 1.1/2"x1"</v>
      </c>
      <c r="C189" s="51" t="str">
        <f>'Serviços eventuais'!D96</f>
        <v>PÇ</v>
      </c>
      <c r="D189" s="51">
        <f>'Serviços eventuais'!E96</f>
        <v>7</v>
      </c>
      <c r="E189" s="496">
        <f>'Serviços eventuais'!F96</f>
        <v>65.544669999999996</v>
      </c>
      <c r="F189" s="496">
        <f>'Serviços eventuais'!G96</f>
        <v>458.81</v>
      </c>
      <c r="G189" s="52" t="str">
        <f>'Serviços eventuais'!B96</f>
        <v>PROPRIA</v>
      </c>
      <c r="H189" s="53"/>
    </row>
    <row r="190" spans="1:8" s="44" customFormat="1">
      <c r="A190" s="49" t="str">
        <f>'Serviços eventuais'!A97</f>
        <v>3.86.8</v>
      </c>
      <c r="B190" s="50" t="str">
        <f>'Serviços eventuais'!C97</f>
        <v>Redução concêntrica aço carbono 1.1/4"x1"</v>
      </c>
      <c r="C190" s="51" t="str">
        <f>'Serviços eventuais'!D97</f>
        <v>PÇ</v>
      </c>
      <c r="D190" s="51">
        <f>'Serviços eventuais'!E97</f>
        <v>3</v>
      </c>
      <c r="E190" s="496">
        <f>'Serviços eventuais'!F97</f>
        <v>60.794670000000004</v>
      </c>
      <c r="F190" s="496">
        <f>'Serviços eventuais'!G97</f>
        <v>182.38</v>
      </c>
      <c r="G190" s="52" t="str">
        <f>'Serviços eventuais'!B97</f>
        <v>PROPRIA</v>
      </c>
      <c r="H190" s="53"/>
    </row>
    <row r="191" spans="1:8" s="44" customFormat="1">
      <c r="A191" s="49" t="str">
        <f>'Serviços eventuais'!A98</f>
        <v>3.86.9</v>
      </c>
      <c r="B191" s="50" t="str">
        <f>'Serviços eventuais'!C98</f>
        <v>Redução concêntrica aço carbono 1"x1/2"</v>
      </c>
      <c r="C191" s="51" t="str">
        <f>'Serviços eventuais'!D98</f>
        <v>PÇ</v>
      </c>
      <c r="D191" s="51">
        <f>'Serviços eventuais'!E98</f>
        <v>69</v>
      </c>
      <c r="E191" s="496">
        <f>'Serviços eventuais'!F98</f>
        <v>53.13467</v>
      </c>
      <c r="F191" s="496">
        <f>'Serviços eventuais'!G98</f>
        <v>3666.29</v>
      </c>
      <c r="G191" s="52" t="str">
        <f>'Serviços eventuais'!B98</f>
        <v>PROPRIA</v>
      </c>
      <c r="H191" s="53"/>
    </row>
    <row r="192" spans="1:8" s="44" customFormat="1">
      <c r="A192" s="49" t="str">
        <f>'Serviços eventuais'!A99</f>
        <v>3.86.10</v>
      </c>
      <c r="B192" s="50" t="str">
        <f>'Serviços eventuais'!C99</f>
        <v>Cruzeta de aço carbono 2.1/2”</v>
      </c>
      <c r="C192" s="51" t="str">
        <f>'Serviços eventuais'!D99</f>
        <v>PÇ</v>
      </c>
      <c r="D192" s="51">
        <f>'Serviços eventuais'!E99</f>
        <v>2</v>
      </c>
      <c r="E192" s="496">
        <f>'Serviços eventuais'!F99</f>
        <v>253.36915000000002</v>
      </c>
      <c r="F192" s="496">
        <f>'Serviços eventuais'!G99</f>
        <v>506.73</v>
      </c>
      <c r="G192" s="52" t="str">
        <f>'Serviços eventuais'!B99</f>
        <v>TCPO 15141.8.8</v>
      </c>
      <c r="H192" s="53"/>
    </row>
    <row r="193" spans="1:8" s="44" customFormat="1">
      <c r="A193" s="49" t="str">
        <f>'Serviços eventuais'!A100</f>
        <v>3.86.11</v>
      </c>
      <c r="B193" s="50" t="str">
        <f>'Serviços eventuais'!C100</f>
        <v>Cruzeta de aço carbono 2”</v>
      </c>
      <c r="C193" s="51" t="str">
        <f>'Serviços eventuais'!D100</f>
        <v>PÇ</v>
      </c>
      <c r="D193" s="51">
        <f>'Serviços eventuais'!E100</f>
        <v>2</v>
      </c>
      <c r="E193" s="496">
        <f>'Serviços eventuais'!F100</f>
        <v>157.11795000000001</v>
      </c>
      <c r="F193" s="496">
        <f>'Serviços eventuais'!G100</f>
        <v>314.23</v>
      </c>
      <c r="G193" s="52" t="str">
        <f>'Serviços eventuais'!B100</f>
        <v>TCPO 15141.8.8</v>
      </c>
      <c r="H193" s="53"/>
    </row>
    <row r="194" spans="1:8" s="44" customFormat="1">
      <c r="A194" s="49" t="str">
        <f>'Serviços eventuais'!A101</f>
        <v>3.86.12</v>
      </c>
      <c r="B194" s="50" t="str">
        <f>'Serviços eventuais'!C101</f>
        <v>Cruzeta de aço carbono 1.1/2”</v>
      </c>
      <c r="C194" s="51" t="str">
        <f>'Serviços eventuais'!D101</f>
        <v>PÇ</v>
      </c>
      <c r="D194" s="51">
        <f>'Serviços eventuais'!E101</f>
        <v>6</v>
      </c>
      <c r="E194" s="496">
        <f>'Serviços eventuais'!F101</f>
        <v>124.49794999999999</v>
      </c>
      <c r="F194" s="496">
        <f>'Serviços eventuais'!G101</f>
        <v>746.98</v>
      </c>
      <c r="G194" s="52" t="str">
        <f>'Serviços eventuais'!B101</f>
        <v>TCPO 15141.8.8</v>
      </c>
      <c r="H194" s="53"/>
    </row>
    <row r="195" spans="1:8" s="44" customFormat="1">
      <c r="A195" s="49" t="str">
        <f>'Serviços eventuais'!A102</f>
        <v>3.86.13</v>
      </c>
      <c r="B195" s="50" t="str">
        <f>'Serviços eventuais'!C102</f>
        <v>Tê 90º aço carbono 2", fornecimento e instalação</v>
      </c>
      <c r="C195" s="51" t="str">
        <f>'Serviços eventuais'!D102</f>
        <v>PÇ</v>
      </c>
      <c r="D195" s="51">
        <f>'Serviços eventuais'!E102</f>
        <v>1</v>
      </c>
      <c r="E195" s="496">
        <f>'Serviços eventuais'!F102</f>
        <v>113.52915</v>
      </c>
      <c r="F195" s="496">
        <f>'Serviços eventuais'!G102</f>
        <v>113.52</v>
      </c>
      <c r="G195" s="52" t="str">
        <f>'Serviços eventuais'!B102</f>
        <v>TCPO 15141.8.24</v>
      </c>
      <c r="H195" s="53"/>
    </row>
    <row r="196" spans="1:8" s="44" customFormat="1">
      <c r="A196" s="49" t="str">
        <f>'Serviços eventuais'!A103</f>
        <v>3.86.14</v>
      </c>
      <c r="B196" s="50" t="str">
        <f>'Serviços eventuais'!C103</f>
        <v>Tê 90º aço carbono 1.1/2", fornecimento e instalação</v>
      </c>
      <c r="C196" s="51" t="str">
        <f>'Serviços eventuais'!D103</f>
        <v>PÇ</v>
      </c>
      <c r="D196" s="51">
        <f>'Serviços eventuais'!E103</f>
        <v>4</v>
      </c>
      <c r="E196" s="496">
        <f>'Serviços eventuais'!F103</f>
        <v>86.219149999999999</v>
      </c>
      <c r="F196" s="496">
        <f>'Serviços eventuais'!G103</f>
        <v>344.87</v>
      </c>
      <c r="G196" s="52" t="str">
        <f>'Serviços eventuais'!B103</f>
        <v>TCPO 15141.8.24</v>
      </c>
      <c r="H196" s="53"/>
    </row>
    <row r="197" spans="1:8" s="44" customFormat="1">
      <c r="A197" s="49" t="str">
        <f>'Serviços eventuais'!A104</f>
        <v>3.86.15</v>
      </c>
      <c r="B197" s="50" t="str">
        <f>'Serviços eventuais'!C104</f>
        <v>Tê 90º aço carbono 1", fornecimento e instalação</v>
      </c>
      <c r="C197" s="51" t="str">
        <f>'Serviços eventuais'!D104</f>
        <v>PÇ</v>
      </c>
      <c r="D197" s="51">
        <f>'Serviços eventuais'!E104</f>
        <v>21</v>
      </c>
      <c r="E197" s="496">
        <f>'Serviços eventuais'!F104</f>
        <v>63.579149999999998</v>
      </c>
      <c r="F197" s="496">
        <f>'Serviços eventuais'!G104</f>
        <v>1335.16</v>
      </c>
      <c r="G197" s="52" t="str">
        <f>'Serviços eventuais'!B104</f>
        <v>TCPO 15141.8.24</v>
      </c>
      <c r="H197" s="53"/>
    </row>
    <row r="198" spans="1:8" s="44" customFormat="1">
      <c r="A198" s="49" t="str">
        <f>'Serviços eventuais'!A105</f>
        <v>3.86.16</v>
      </c>
      <c r="B198" s="50" t="str">
        <f>'Serviços eventuais'!C105</f>
        <v>Tê 90º de redução aço carbono 4"x1.1/2", fornecimento e instalação</v>
      </c>
      <c r="C198" s="51" t="str">
        <f>'Serviços eventuais'!D105</f>
        <v>PÇ</v>
      </c>
      <c r="D198" s="51">
        <f>'Serviços eventuais'!E105</f>
        <v>2</v>
      </c>
      <c r="E198" s="496">
        <f>'Serviços eventuais'!F105</f>
        <v>455.24899999999997</v>
      </c>
      <c r="F198" s="496">
        <f>'Serviços eventuais'!G105</f>
        <v>910.49</v>
      </c>
      <c r="G198" s="52" t="str">
        <f>'Serviços eventuais'!B105</f>
        <v>TCPO 15141.8.26</v>
      </c>
      <c r="H198" s="53"/>
    </row>
    <row r="199" spans="1:8" s="44" customFormat="1">
      <c r="A199" s="49" t="str">
        <f>'Serviços eventuais'!A106</f>
        <v>3.86.17</v>
      </c>
      <c r="B199" s="50" t="str">
        <f>'Serviços eventuais'!C106</f>
        <v>Tê 90º de redução aço carbono 2.1/2"x1", fornecimento e instalação</v>
      </c>
      <c r="C199" s="51" t="str">
        <f>'Serviços eventuais'!D106</f>
        <v>PÇ</v>
      </c>
      <c r="D199" s="51">
        <f>'Serviços eventuais'!E106</f>
        <v>1</v>
      </c>
      <c r="E199" s="496">
        <f>'Serviços eventuais'!F106</f>
        <v>193.29899999999998</v>
      </c>
      <c r="F199" s="496">
        <f>'Serviços eventuais'!G106</f>
        <v>193.29</v>
      </c>
      <c r="G199" s="52" t="str">
        <f>'Serviços eventuais'!B106</f>
        <v>TCPO 15141.8.26</v>
      </c>
      <c r="H199" s="53"/>
    </row>
    <row r="200" spans="1:8" s="44" customFormat="1">
      <c r="A200" s="49" t="str">
        <f>'Serviços eventuais'!A107</f>
        <v>3.86.18</v>
      </c>
      <c r="B200" s="50" t="str">
        <f>'Serviços eventuais'!C107</f>
        <v>Tê 90º de redução aço carbono 2"x1", fornecimento e instalação</v>
      </c>
      <c r="C200" s="51" t="str">
        <f>'Serviços eventuais'!D107</f>
        <v>PÇ</v>
      </c>
      <c r="D200" s="51">
        <f>'Serviços eventuais'!E107</f>
        <v>4</v>
      </c>
      <c r="E200" s="496">
        <f>'Serviços eventuais'!F107</f>
        <v>123.28900000000002</v>
      </c>
      <c r="F200" s="496">
        <f>'Serviços eventuais'!G107</f>
        <v>493.15</v>
      </c>
      <c r="G200" s="52" t="str">
        <f>'Serviços eventuais'!B107</f>
        <v>TCPO 15141.8.26</v>
      </c>
      <c r="H200" s="53"/>
    </row>
    <row r="201" spans="1:8" s="44" customFormat="1">
      <c r="A201" s="49" t="str">
        <f>'Serviços eventuais'!A108</f>
        <v>3.86.19</v>
      </c>
      <c r="B201" s="50" t="str">
        <f>'Serviços eventuais'!C108</f>
        <v>Tê 90º de redução aço carbono 1.1/2"x1.1/4", fornecimento e instalação</v>
      </c>
      <c r="C201" s="51" t="str">
        <f>'Serviços eventuais'!D108</f>
        <v>PÇ</v>
      </c>
      <c r="D201" s="51">
        <f>'Serviços eventuais'!E108</f>
        <v>2</v>
      </c>
      <c r="E201" s="496">
        <f>'Serviços eventuais'!F108</f>
        <v>193.29899999999998</v>
      </c>
      <c r="F201" s="496">
        <f>'Serviços eventuais'!G108</f>
        <v>386.59</v>
      </c>
      <c r="G201" s="52" t="str">
        <f>'Serviços eventuais'!B108</f>
        <v>TCPO 15141.8.26</v>
      </c>
      <c r="H201" s="53"/>
    </row>
    <row r="202" spans="1:8" s="44" customFormat="1">
      <c r="A202" s="49" t="str">
        <f>'Serviços eventuais'!A109</f>
        <v>3.86.20</v>
      </c>
      <c r="B202" s="50" t="str">
        <f>'Serviços eventuais'!C109</f>
        <v>Tê 90º de redução aço carbono 1.1/2"x1", fornecimento e instalação</v>
      </c>
      <c r="C202" s="51" t="str">
        <f>'Serviços eventuais'!D109</f>
        <v>PÇ</v>
      </c>
      <c r="D202" s="51">
        <f>'Serviços eventuais'!E109</f>
        <v>9</v>
      </c>
      <c r="E202" s="496">
        <f>'Serviços eventuais'!F109</f>
        <v>96.239000000000004</v>
      </c>
      <c r="F202" s="496">
        <f>'Serviços eventuais'!G109</f>
        <v>866.15</v>
      </c>
      <c r="G202" s="52" t="str">
        <f>'Serviços eventuais'!B109</f>
        <v>TCPO 15141.8.26</v>
      </c>
      <c r="H202" s="53"/>
    </row>
    <row r="203" spans="1:8" s="44" customFormat="1">
      <c r="A203" s="49" t="str">
        <f>'Serviços eventuais'!A110</f>
        <v>3.86.21</v>
      </c>
      <c r="B203" s="50" t="str">
        <f>'Serviços eventuais'!C110</f>
        <v>Tê 90º de redução aço carbono 1.1/4"x1", fornecimento e instalação</v>
      </c>
      <c r="C203" s="51" t="str">
        <f>'Serviços eventuais'!D110</f>
        <v>PÇ</v>
      </c>
      <c r="D203" s="51">
        <f>'Serviços eventuais'!E110</f>
        <v>8</v>
      </c>
      <c r="E203" s="496">
        <f>'Serviços eventuais'!F110</f>
        <v>82.899000000000001</v>
      </c>
      <c r="F203" s="496">
        <f>'Serviços eventuais'!G110</f>
        <v>663.19</v>
      </c>
      <c r="G203" s="52" t="str">
        <f>'Serviços eventuais'!B110</f>
        <v>TCPO 15141.8.26</v>
      </c>
      <c r="H203" s="53"/>
    </row>
    <row r="204" spans="1:8" s="44" customFormat="1">
      <c r="A204" s="49" t="str">
        <f>'Serviços eventuais'!A111</f>
        <v>3.86.22</v>
      </c>
      <c r="B204" s="50" t="str">
        <f>'Serviços eventuais'!C111</f>
        <v>Tubo de aço galvanizado com costura 1" (25 mm), fornecimento e instalação</v>
      </c>
      <c r="C204" s="51" t="str">
        <f>'Serviços eventuais'!D111</f>
        <v>M</v>
      </c>
      <c r="D204" s="51">
        <f>'Serviços eventuais'!E111</f>
        <v>174</v>
      </c>
      <c r="E204" s="496">
        <f>'Serviços eventuais'!F111</f>
        <v>81.424341999999996</v>
      </c>
      <c r="F204" s="496">
        <f>'Serviços eventuais'!G111</f>
        <v>14167.83</v>
      </c>
      <c r="G204" s="52" t="str">
        <f>'Serviços eventuais'!B111</f>
        <v>TCPO 15141.8.27</v>
      </c>
      <c r="H204" s="53"/>
    </row>
    <row r="205" spans="1:8" s="44" customFormat="1">
      <c r="A205" s="49" t="str">
        <f>'Serviços eventuais'!A112</f>
        <v>3.86.23</v>
      </c>
      <c r="B205" s="50" t="str">
        <f>'Serviços eventuais'!C112</f>
        <v>Tubo de aço galvanizado com costura 1.1/4" (32 mm), fornecimento e instalação</v>
      </c>
      <c r="C205" s="51" t="str">
        <f>'Serviços eventuais'!D112</f>
        <v>M</v>
      </c>
      <c r="D205" s="51">
        <f>'Serviços eventuais'!E112</f>
        <v>54</v>
      </c>
      <c r="E205" s="496">
        <f>'Serviços eventuais'!F112</f>
        <v>93.279689999999988</v>
      </c>
      <c r="F205" s="496">
        <f>'Serviços eventuais'!G112</f>
        <v>5037.1000000000004</v>
      </c>
      <c r="G205" s="52" t="str">
        <f>'Serviços eventuais'!B112</f>
        <v>TCPO 15141.8.27</v>
      </c>
      <c r="H205" s="53"/>
    </row>
    <row r="206" spans="1:8" s="44" customFormat="1">
      <c r="A206" s="49" t="str">
        <f>'Serviços eventuais'!A113</f>
        <v>3.86.24</v>
      </c>
      <c r="B206" s="50" t="str">
        <f>'Serviços eventuais'!C113</f>
        <v>Tubo de aço galvanizado com costura 1.1/2" (40 mm), fornecimento e instalação</v>
      </c>
      <c r="C206" s="51" t="str">
        <f>'Serviços eventuais'!D113</f>
        <v>M</v>
      </c>
      <c r="D206" s="51">
        <f>'Serviços eventuais'!E113</f>
        <v>48</v>
      </c>
      <c r="E206" s="496">
        <f>'Serviços eventuais'!F113</f>
        <v>102.55206799999999</v>
      </c>
      <c r="F206" s="496">
        <f>'Serviços eventuais'!G113</f>
        <v>4922.49</v>
      </c>
      <c r="G206" s="52" t="str">
        <f>'Serviços eventuais'!B113</f>
        <v>TCPO 15141.8.27</v>
      </c>
      <c r="H206" s="53"/>
    </row>
    <row r="207" spans="1:8" s="44" customFormat="1">
      <c r="A207" s="49" t="str">
        <f>'Serviços eventuais'!A114</f>
        <v>3.86.25</v>
      </c>
      <c r="B207" s="50" t="str">
        <f>'Serviços eventuais'!C114</f>
        <v>Tubo de aço galvanizado com costura 2" (50 mm), fornecimento e instalação</v>
      </c>
      <c r="C207" s="51" t="str">
        <f>'Serviços eventuais'!D114</f>
        <v>M</v>
      </c>
      <c r="D207" s="51">
        <f>'Serviços eventuais'!E114</f>
        <v>18</v>
      </c>
      <c r="E207" s="496">
        <f>'Serviços eventuais'!F114</f>
        <v>131.88753599999998</v>
      </c>
      <c r="F207" s="496">
        <f>'Serviços eventuais'!G114</f>
        <v>2373.9699999999998</v>
      </c>
      <c r="G207" s="52" t="str">
        <f>'Serviços eventuais'!B114</f>
        <v>TCPO 15141.8.27</v>
      </c>
      <c r="H207" s="53"/>
    </row>
    <row r="208" spans="1:8" s="44" customFormat="1">
      <c r="A208" s="49" t="str">
        <f>'Serviços eventuais'!A115</f>
        <v>3.86.26</v>
      </c>
      <c r="B208" s="50" t="str">
        <f>'Serviços eventuais'!C115</f>
        <v>Tubo de aço galvanizado com costura 2.1/2" (65 mm), fornecimento e instalação</v>
      </c>
      <c r="C208" s="51" t="str">
        <f>'Serviços eventuais'!D115</f>
        <v>M</v>
      </c>
      <c r="D208" s="51">
        <f>'Serviços eventuais'!E115</f>
        <v>12</v>
      </c>
      <c r="E208" s="496">
        <f>'Serviços eventuais'!F115</f>
        <v>154.98689400000001</v>
      </c>
      <c r="F208" s="496">
        <f>'Serviços eventuais'!G115</f>
        <v>1859.84</v>
      </c>
      <c r="G208" s="52" t="str">
        <f>'Serviços eventuais'!B115</f>
        <v>TCPO 15141.8.27</v>
      </c>
      <c r="H208" s="53"/>
    </row>
    <row r="209" spans="1:8" s="44" customFormat="1">
      <c r="A209" s="49" t="str">
        <f>'Serviços eventuais'!A116</f>
        <v>3.86.27</v>
      </c>
      <c r="B209" s="50" t="str">
        <f>'Serviços eventuais'!C116</f>
        <v>Tubo de aço galvanizado com costura 3" (80 mm), fornecimento e instalação</v>
      </c>
      <c r="C209" s="51" t="str">
        <f>'Serviços eventuais'!D116</f>
        <v>M</v>
      </c>
      <c r="D209" s="51">
        <f>'Serviços eventuais'!E116</f>
        <v>12</v>
      </c>
      <c r="E209" s="496">
        <f>'Serviços eventuais'!F116</f>
        <v>196.01111199999997</v>
      </c>
      <c r="F209" s="496">
        <f>'Serviços eventuais'!G116</f>
        <v>2352.13</v>
      </c>
      <c r="G209" s="52" t="str">
        <f>'Serviços eventuais'!B116</f>
        <v>TCPO 15141.8.27</v>
      </c>
      <c r="H209" s="53"/>
    </row>
    <row r="210" spans="1:8" s="44" customFormat="1" ht="25.5">
      <c r="A210" s="49" t="str">
        <f>'Serviços eventuais'!A117</f>
        <v>3.86.28</v>
      </c>
      <c r="B210" s="50" t="str">
        <f>'Serviços eventuais'!C117</f>
        <v>Sprinkler tipo pendente, orifício nominal Ø 1/2”, temperatura de operação 68º C, fornecimento e instalação</v>
      </c>
      <c r="C210" s="51" t="str">
        <f>'Serviços eventuais'!D117</f>
        <v>PÇ</v>
      </c>
      <c r="D210" s="51">
        <f>'Serviços eventuais'!E117</f>
        <v>110</v>
      </c>
      <c r="E210" s="496">
        <f>'Serviços eventuais'!F117</f>
        <v>44.36</v>
      </c>
      <c r="F210" s="496">
        <f>'Serviços eventuais'!G117</f>
        <v>4879.6000000000004</v>
      </c>
      <c r="G210" s="52">
        <f>'Serviços eventuais'!B117</f>
        <v>95696</v>
      </c>
      <c r="H210" s="53"/>
    </row>
    <row r="211" spans="1:8" s="44" customFormat="1">
      <c r="A211" s="49" t="str">
        <f>'Serviços eventuais'!A118</f>
        <v>3.86.29</v>
      </c>
      <c r="B211" s="50" t="str">
        <f>'Serviços eventuais'!C118</f>
        <v xml:space="preserve">Suportes diversos para tubos </v>
      </c>
      <c r="C211" s="51" t="str">
        <f>'Serviços eventuais'!D118</f>
        <v>PÇ</v>
      </c>
      <c r="D211" s="51">
        <f>'Serviços eventuais'!E118</f>
        <v>225</v>
      </c>
      <c r="E211" s="496">
        <f>'Serviços eventuais'!F118</f>
        <v>11.299000000000001</v>
      </c>
      <c r="F211" s="496">
        <f>'Serviços eventuais'!G118</f>
        <v>2542.27</v>
      </c>
      <c r="G211" s="52" t="str">
        <f>'Serviços eventuais'!B118</f>
        <v>PROPRIA</v>
      </c>
      <c r="H211" s="53"/>
    </row>
    <row r="212" spans="1:8" s="44" customFormat="1">
      <c r="A212" s="49" t="str">
        <f>'Serviços eventuais'!A119</f>
        <v>3.86.30</v>
      </c>
      <c r="B212" s="50" t="str">
        <f>'Serviços eventuais'!C119</f>
        <v>Desmontagem parcial de trechos da hidráulica SPK  (montador + ajudante)</v>
      </c>
      <c r="C212" s="51" t="str">
        <f>'Serviços eventuais'!D119</f>
        <v>VB</v>
      </c>
      <c r="D212" s="51">
        <f>'Serviços eventuais'!E119</f>
        <v>1</v>
      </c>
      <c r="E212" s="496">
        <f>'Serviços eventuais'!F119</f>
        <v>6176.4000000000005</v>
      </c>
      <c r="F212" s="496">
        <f>'Serviços eventuais'!G119</f>
        <v>6176.4</v>
      </c>
      <c r="G212" s="52" t="str">
        <f>'Serviços eventuais'!B119</f>
        <v>Projeto</v>
      </c>
      <c r="H212" s="53"/>
    </row>
    <row r="213" spans="1:8" s="44" customFormat="1">
      <c r="A213" s="49" t="str">
        <f>'Serviços eventuais'!A120</f>
        <v>3.86.31</v>
      </c>
      <c r="B213" s="50" t="str">
        <f>'Serviços eventuais'!C120</f>
        <v xml:space="preserve">Desmontagem das bombas SPK existentes </v>
      </c>
      <c r="C213" s="51" t="str">
        <f>'Serviços eventuais'!D120</f>
        <v>VB</v>
      </c>
      <c r="D213" s="51">
        <f>'Serviços eventuais'!E120</f>
        <v>1</v>
      </c>
      <c r="E213" s="496">
        <f>'Serviços eventuais'!F120</f>
        <v>926.46</v>
      </c>
      <c r="F213" s="496">
        <f>'Serviços eventuais'!G120</f>
        <v>926.46</v>
      </c>
      <c r="G213" s="52" t="str">
        <f>'Serviços eventuais'!B120</f>
        <v>Projeto</v>
      </c>
      <c r="H213" s="53"/>
    </row>
    <row r="214" spans="1:8" s="44" customFormat="1">
      <c r="A214" s="49" t="str">
        <f>'Serviços eventuais'!A121</f>
        <v>3.86.32</v>
      </c>
      <c r="B214" s="50" t="str">
        <f>'Serviços eventuais'!C121</f>
        <v xml:space="preserve">Montagem e interligação dos trechos da hidráulica SPK </v>
      </c>
      <c r="C214" s="51" t="str">
        <f>'Serviços eventuais'!D121</f>
        <v>VB</v>
      </c>
      <c r="D214" s="51">
        <f>'Serviços eventuais'!E121</f>
        <v>1</v>
      </c>
      <c r="E214" s="496">
        <f>'Serviços eventuais'!F121</f>
        <v>46720.800000000003</v>
      </c>
      <c r="F214" s="496">
        <f>'Serviços eventuais'!G121</f>
        <v>46720.800000000003</v>
      </c>
      <c r="G214" s="52" t="str">
        <f>'Serviços eventuais'!B121</f>
        <v>Projeto</v>
      </c>
      <c r="H214" s="53"/>
    </row>
    <row r="215" spans="1:8" s="44" customFormat="1">
      <c r="A215" s="49" t="str">
        <f>'Serviços eventuais'!A122</f>
        <v>3.86.33</v>
      </c>
      <c r="B215" s="50" t="str">
        <f>'Serviços eventuais'!C122</f>
        <v>PINTURA TUBULAÇÃO</v>
      </c>
      <c r="C215" s="51" t="str">
        <f>'Serviços eventuais'!D122</f>
        <v>VB</v>
      </c>
      <c r="D215" s="51">
        <f>'Serviços eventuais'!E122</f>
        <v>1</v>
      </c>
      <c r="E215" s="496">
        <f>'Serviços eventuais'!F122</f>
        <v>1767.36</v>
      </c>
      <c r="F215" s="496">
        <f>'Serviços eventuais'!G122</f>
        <v>1767.36</v>
      </c>
      <c r="G215" s="52" t="str">
        <f>'Serviços eventuais'!B122</f>
        <v>Projeto</v>
      </c>
      <c r="H215" s="53"/>
    </row>
    <row r="216" spans="1:8" s="44" customFormat="1">
      <c r="A216" s="49" t="str">
        <f>'Serviços eventuais'!A123</f>
        <v>3.86.34</v>
      </c>
      <c r="B216" s="50" t="str">
        <f>'Serviços eventuais'!C123</f>
        <v>TRANSPORTE HORIZONTAL DE TUBOS E CONEXÕES DE AÇO CARBONO MANUAL</v>
      </c>
      <c r="C216" s="51" t="str">
        <f>'Serviços eventuais'!D123</f>
        <v>VB</v>
      </c>
      <c r="D216" s="51">
        <f>'Serviços eventuais'!E123</f>
        <v>1</v>
      </c>
      <c r="E216" s="496">
        <f>'Serviços eventuais'!F123</f>
        <v>251.25949800000001</v>
      </c>
      <c r="F216" s="496">
        <f>'Serviços eventuais'!G123</f>
        <v>251.25</v>
      </c>
      <c r="G216" s="52">
        <f>'Serviços eventuais'!B123</f>
        <v>91120</v>
      </c>
      <c r="H216" s="53"/>
    </row>
    <row r="217" spans="1:8" s="44" customFormat="1">
      <c r="A217" s="49" t="str">
        <f>'Serviços eventuais'!A124</f>
        <v>3.86.35</v>
      </c>
      <c r="B217" s="50" t="str">
        <f>'Serviços eventuais'!C124</f>
        <v>ELABORAÇÃO DE AS BUILT DE SISTEMA DE INCENDIO</v>
      </c>
      <c r="C217" s="51" t="str">
        <f>'Serviços eventuais'!D124</f>
        <v>VB</v>
      </c>
      <c r="D217" s="51">
        <f>'Serviços eventuais'!E124</f>
        <v>1</v>
      </c>
      <c r="E217" s="496">
        <f>'Serviços eventuais'!F124</f>
        <v>1121.52</v>
      </c>
      <c r="F217" s="496">
        <f>'Serviços eventuais'!G124</f>
        <v>1121.52</v>
      </c>
      <c r="G217" s="52" t="str">
        <f>'Serviços eventuais'!B124</f>
        <v>PROPRIA</v>
      </c>
      <c r="H217" s="53"/>
    </row>
    <row r="218" spans="1:8" s="44" customFormat="1">
      <c r="A218" s="49" t="str">
        <f>'Serviços eventuais'!A125</f>
        <v>3.87</v>
      </c>
      <c r="B218" s="50" t="str">
        <f>'Serviços eventuais'!C125</f>
        <v>Manutenção nível 1 e 2 para Extintor de incêndio com carga de PQS – 4kg - BC, com recarga</v>
      </c>
      <c r="C218" s="51" t="str">
        <f>'Serviços eventuais'!D125</f>
        <v>UNID</v>
      </c>
      <c r="D218" s="51">
        <f>'Serviços eventuais'!E125</f>
        <v>40</v>
      </c>
      <c r="E218" s="496">
        <f>'Serviços eventuais'!F125</f>
        <v>16.72</v>
      </c>
      <c r="F218" s="496">
        <f>'Serviços eventuais'!G125</f>
        <v>668.8</v>
      </c>
      <c r="G218" s="52" t="str">
        <f>'Serviços eventuais'!B125</f>
        <v>PROPRIA</v>
      </c>
      <c r="H218" s="53"/>
    </row>
    <row r="219" spans="1:8" s="44" customFormat="1">
      <c r="A219" s="49" t="str">
        <f>'Serviços eventuais'!A126</f>
        <v>3.88</v>
      </c>
      <c r="B219" s="50" t="str">
        <f>'Serviços eventuais'!C126</f>
        <v>Manutenção nível 1 e 2 para Extintor de incêndio com carga de PQS – 6kg - ABC, com recarga</v>
      </c>
      <c r="C219" s="51" t="str">
        <f>'Serviços eventuais'!D126</f>
        <v>UNID</v>
      </c>
      <c r="D219" s="51">
        <f>'Serviços eventuais'!E126</f>
        <v>68</v>
      </c>
      <c r="E219" s="496">
        <f>'Serviços eventuais'!F126</f>
        <v>17.7075</v>
      </c>
      <c r="F219" s="496">
        <f>'Serviços eventuais'!G126</f>
        <v>1204.1099999999999</v>
      </c>
      <c r="G219" s="52" t="str">
        <f>'Serviços eventuais'!B126</f>
        <v>PROPRIA</v>
      </c>
      <c r="H219" s="53"/>
    </row>
    <row r="220" spans="1:8" s="44" customFormat="1">
      <c r="A220" s="49" t="str">
        <f>'Serviços eventuais'!A127</f>
        <v>3.89</v>
      </c>
      <c r="B220" s="50" t="str">
        <f>'Serviços eventuais'!C127</f>
        <v>Manutenção nível 1 e 2 para Extintor de incêndio com carga de PQS – 4kg – ABC</v>
      </c>
      <c r="C220" s="51" t="str">
        <f>'Serviços eventuais'!D127</f>
        <v>UNID</v>
      </c>
      <c r="D220" s="51">
        <f>'Serviços eventuais'!E127</f>
        <v>1</v>
      </c>
      <c r="E220" s="496">
        <f>'Serviços eventuais'!F127</f>
        <v>17.97</v>
      </c>
      <c r="F220" s="496">
        <f>'Serviços eventuais'!G127</f>
        <v>17.97</v>
      </c>
      <c r="G220" s="52" t="str">
        <f>'Serviços eventuais'!B127</f>
        <v>PROPRIA</v>
      </c>
      <c r="H220" s="53"/>
    </row>
    <row r="221" spans="1:8" s="44" customFormat="1" ht="25.5">
      <c r="A221" s="49" t="str">
        <f>'Serviços eventuais'!A128</f>
        <v>3.90</v>
      </c>
      <c r="B221" s="50" t="str">
        <f>'Serviços eventuais'!C128</f>
        <v>Manutenção nível 1 e 2 para Extintor de incêndio com carga de Água pressurizada – 10 litros, com recarga</v>
      </c>
      <c r="C221" s="51" t="str">
        <f>'Serviços eventuais'!D128</f>
        <v>UNID</v>
      </c>
      <c r="D221" s="51">
        <f>'Serviços eventuais'!E128</f>
        <v>9</v>
      </c>
      <c r="E221" s="496">
        <f>'Serviços eventuais'!F128</f>
        <v>20.5</v>
      </c>
      <c r="F221" s="496">
        <f>'Serviços eventuais'!G128</f>
        <v>184.5</v>
      </c>
      <c r="G221" s="52" t="str">
        <f>'Serviços eventuais'!B128</f>
        <v>PROPRIA</v>
      </c>
      <c r="H221" s="53"/>
    </row>
    <row r="222" spans="1:8" s="44" customFormat="1">
      <c r="A222" s="49" t="str">
        <f>'Serviços eventuais'!A129</f>
        <v>3.91</v>
      </c>
      <c r="B222" s="50" t="str">
        <f>'Serviços eventuais'!C129</f>
        <v>Manutenção nível 1 e 2 Extintor de incêndio com carga de CO2 – 6kg, com recarga</v>
      </c>
      <c r="C222" s="51" t="str">
        <f>'Serviços eventuais'!D129</f>
        <v>UNID</v>
      </c>
      <c r="D222" s="51">
        <f>'Serviços eventuais'!E129</f>
        <v>10</v>
      </c>
      <c r="E222" s="496">
        <f>'Serviços eventuais'!F129</f>
        <v>54.164999999999999</v>
      </c>
      <c r="F222" s="496">
        <f>'Serviços eventuais'!G129</f>
        <v>541.65</v>
      </c>
      <c r="G222" s="52" t="str">
        <f>'Serviços eventuais'!B129</f>
        <v>PROPRIA</v>
      </c>
      <c r="H222" s="53"/>
    </row>
    <row r="223" spans="1:8" s="44" customFormat="1">
      <c r="A223" s="49" t="str">
        <f>'Serviços eventuais'!A130</f>
        <v>3.92</v>
      </c>
      <c r="B223" s="50" t="str">
        <f>'Serviços eventuais'!C130</f>
        <v>Teste hidrostático para Extintor de incêndio com carga de PQS – 4kg - BC</v>
      </c>
      <c r="C223" s="51" t="str">
        <f>'Serviços eventuais'!D130</f>
        <v>UNID</v>
      </c>
      <c r="D223" s="51">
        <f>'Serviços eventuais'!E130</f>
        <v>40</v>
      </c>
      <c r="E223" s="496">
        <f>'Serviços eventuais'!F130</f>
        <v>4.126666666666666</v>
      </c>
      <c r="F223" s="496">
        <f>'Serviços eventuais'!G130</f>
        <v>165.06</v>
      </c>
      <c r="G223" s="52" t="str">
        <f>'Serviços eventuais'!B130</f>
        <v>PROPRIA</v>
      </c>
      <c r="H223" s="53"/>
    </row>
    <row r="224" spans="1:8" s="44" customFormat="1">
      <c r="A224" s="49" t="str">
        <f>'Serviços eventuais'!A131</f>
        <v>3.93</v>
      </c>
      <c r="B224" s="50" t="str">
        <f>'Serviços eventuais'!C131</f>
        <v>Teste hidrostático para Extintor de incêndio com carga de PQS – 6kg - ABC</v>
      </c>
      <c r="C224" s="51" t="str">
        <f>'Serviços eventuais'!D131</f>
        <v>UNID</v>
      </c>
      <c r="D224" s="51">
        <f>'Serviços eventuais'!E131</f>
        <v>68</v>
      </c>
      <c r="E224" s="496">
        <f>'Serviços eventuais'!F131</f>
        <v>3.9433333333333329</v>
      </c>
      <c r="F224" s="496">
        <f>'Serviços eventuais'!G131</f>
        <v>268.14</v>
      </c>
      <c r="G224" s="52" t="str">
        <f>'Serviços eventuais'!B131</f>
        <v>PROPRIA</v>
      </c>
      <c r="H224" s="53"/>
    </row>
    <row r="225" spans="1:8" s="44" customFormat="1">
      <c r="A225" s="49" t="str">
        <f>'Serviços eventuais'!A132</f>
        <v>3.94</v>
      </c>
      <c r="B225" s="50" t="str">
        <f>'Serviços eventuais'!C132</f>
        <v>Teste hidrostático para Extintor de incêndio com carga de PQS – 4kg – ABC</v>
      </c>
      <c r="C225" s="51" t="str">
        <f>'Serviços eventuais'!D132</f>
        <v>UNID</v>
      </c>
      <c r="D225" s="51">
        <f>'Serviços eventuais'!E132</f>
        <v>1</v>
      </c>
      <c r="E225" s="496">
        <f>'Serviços eventuais'!F132</f>
        <v>4.126666666666666</v>
      </c>
      <c r="F225" s="496">
        <f>'Serviços eventuais'!G132</f>
        <v>4.12</v>
      </c>
      <c r="G225" s="52" t="str">
        <f>'Serviços eventuais'!B132</f>
        <v>PROPRIA</v>
      </c>
      <c r="H225" s="53"/>
    </row>
    <row r="226" spans="1:8" s="44" customFormat="1">
      <c r="A226" s="49" t="str">
        <f>'Serviços eventuais'!A133</f>
        <v>3.95</v>
      </c>
      <c r="B226" s="50" t="str">
        <f>'Serviços eventuais'!C133</f>
        <v>Teste hidrostático para Extintor de incêndio com carga de Água pressurizada – 10 litros</v>
      </c>
      <c r="C226" s="51" t="str">
        <f>'Serviços eventuais'!D133</f>
        <v>UNID</v>
      </c>
      <c r="D226" s="51">
        <f>'Serviços eventuais'!E133</f>
        <v>9</v>
      </c>
      <c r="E226" s="496">
        <f>'Serviços eventuais'!F133</f>
        <v>4</v>
      </c>
      <c r="F226" s="496">
        <f>'Serviços eventuais'!G133</f>
        <v>36</v>
      </c>
      <c r="G226" s="52" t="str">
        <f>'Serviços eventuais'!B133</f>
        <v>PROPRIA</v>
      </c>
      <c r="H226" s="53"/>
    </row>
    <row r="227" spans="1:8" s="44" customFormat="1">
      <c r="A227" s="49" t="str">
        <f>'Serviços eventuais'!A134</f>
        <v>3.96</v>
      </c>
      <c r="B227" s="50" t="str">
        <f>'Serviços eventuais'!C134</f>
        <v>Teste hidrostático Extintor de incêndio com carga de CO2 – 6kg</v>
      </c>
      <c r="C227" s="51" t="str">
        <f>'Serviços eventuais'!D134</f>
        <v>UNID</v>
      </c>
      <c r="D227" s="51">
        <f>'Serviços eventuais'!E134</f>
        <v>10</v>
      </c>
      <c r="E227" s="496">
        <f>'Serviços eventuais'!F134</f>
        <v>8.2033333333333331</v>
      </c>
      <c r="F227" s="496">
        <f>'Serviços eventuais'!G134</f>
        <v>82.03</v>
      </c>
      <c r="G227" s="52" t="str">
        <f>'Serviços eventuais'!B134</f>
        <v>PROPRIA</v>
      </c>
      <c r="H227" s="53"/>
    </row>
    <row r="228" spans="1:8" s="44" customFormat="1">
      <c r="A228" s="49" t="str">
        <f>'Serviços eventuais'!A135</f>
        <v>3.97</v>
      </c>
      <c r="B228" s="50" t="str">
        <f>'Serviços eventuais'!C135</f>
        <v>Teste hidrostático de mangueira de incêndio com emissão de relatório</v>
      </c>
      <c r="C228" s="51" t="str">
        <f>'Serviços eventuais'!D135</f>
        <v>UNID</v>
      </c>
      <c r="D228" s="51">
        <f>'Serviços eventuais'!E135</f>
        <v>145</v>
      </c>
      <c r="E228" s="496">
        <f>'Serviços eventuais'!F135</f>
        <v>8.49</v>
      </c>
      <c r="F228" s="496">
        <f>'Serviços eventuais'!G135</f>
        <v>1231.05</v>
      </c>
      <c r="G228" s="52" t="str">
        <f>'Serviços eventuais'!B135</f>
        <v>PROPRIA</v>
      </c>
      <c r="H228" s="53"/>
    </row>
    <row r="229" spans="1:8" s="44" customFormat="1" ht="25.5">
      <c r="A229" s="49" t="str">
        <f>'Serviços eventuais'!A136</f>
        <v>3.98</v>
      </c>
      <c r="B229" s="50" t="str">
        <f>'Serviços eventuais'!C136</f>
        <v>EXECUÇÃO DE PASSEIO (CALÇADA) OU PISO DE CONCRETO COM CONCRETO MOLDADO IN LOCO, USINADO, ACABAMENTO CONVENCIONAL, NÃO ARMADO. AF_08/2022</v>
      </c>
      <c r="C229" s="51" t="str">
        <f>'Serviços eventuais'!D136</f>
        <v>M3</v>
      </c>
      <c r="D229" s="51">
        <f>'Serviços eventuais'!E136</f>
        <v>5</v>
      </c>
      <c r="E229" s="496">
        <f>'Serviços eventuais'!F136</f>
        <v>656.03</v>
      </c>
      <c r="F229" s="496">
        <f>'Serviços eventuais'!G136</f>
        <v>3280.15</v>
      </c>
      <c r="G229" s="52" t="str">
        <f>'Serviços eventuais'!B136</f>
        <v>94991</v>
      </c>
      <c r="H229" s="53"/>
    </row>
    <row r="230" spans="1:8" s="44" customFormat="1" ht="25.5">
      <c r="A230" s="49" t="str">
        <f>'Serviços eventuais'!A137</f>
        <v>3.99</v>
      </c>
      <c r="B230" s="50" t="str">
        <f>'Serviços eventuais'!C137</f>
        <v>LASTRO DE CONCRETO MAGRO, APLICADO EM PISOS, LAJES SOBRE SOLO OU RADIER, ESPESSURA DE 5CM</v>
      </c>
      <c r="C230" s="51" t="str">
        <f>'Serviços eventuais'!D137</f>
        <v>M2</v>
      </c>
      <c r="D230" s="51">
        <f>'Serviços eventuais'!E137</f>
        <v>450</v>
      </c>
      <c r="E230" s="496">
        <f>'Serviços eventuais'!F137</f>
        <v>38.369999999999997</v>
      </c>
      <c r="F230" s="496">
        <f>'Serviços eventuais'!G137</f>
        <v>17266.5</v>
      </c>
      <c r="G230" s="52">
        <f>'Serviços eventuais'!B137</f>
        <v>95241</v>
      </c>
      <c r="H230" s="53"/>
    </row>
    <row r="231" spans="1:8" s="44" customFormat="1" ht="25.5">
      <c r="A231" s="49" t="str">
        <f>'Serviços eventuais'!A138</f>
        <v>3.100</v>
      </c>
      <c r="B231" s="50" t="str">
        <f>'Serviços eventuais'!C138</f>
        <v>LASTRO COM MATERIAL GRANULAR (PEDRA BRITADA N.2), APLICADO EM PISOS OU LAJES SOBRE SOLO, ESPESSURA DE *10 CM*</v>
      </c>
      <c r="C231" s="51" t="str">
        <f>'Serviços eventuais'!D138</f>
        <v>M3</v>
      </c>
      <c r="D231" s="51">
        <f>'Serviços eventuais'!E138</f>
        <v>80</v>
      </c>
      <c r="E231" s="496">
        <f>'Serviços eventuais'!F138</f>
        <v>249.21</v>
      </c>
      <c r="F231" s="496">
        <f>'Serviços eventuais'!G138</f>
        <v>19936.8</v>
      </c>
      <c r="G231" s="52">
        <f>'Serviços eventuais'!B138</f>
        <v>96624</v>
      </c>
      <c r="H231" s="53"/>
    </row>
    <row r="232" spans="1:8" s="44" customFormat="1" ht="25.5">
      <c r="A232" s="49" t="str">
        <f>'Serviços eventuais'!A139</f>
        <v>3.101</v>
      </c>
      <c r="B232" s="50" t="str">
        <f>'Serviços eventuais'!C139</f>
        <v>EXECUÇÃO DE PISO INDUSTRIAL DE CONCRETO ARMADO, FCK = 20 MPA, ESPESSURA DE 12CM</v>
      </c>
      <c r="C232" s="51" t="str">
        <f>'Serviços eventuais'!D139</f>
        <v>M2</v>
      </c>
      <c r="D232" s="51">
        <f>'Serviços eventuais'!E139</f>
        <v>300</v>
      </c>
      <c r="E232" s="496">
        <f>'Serviços eventuais'!F139</f>
        <v>114.82</v>
      </c>
      <c r="F232" s="496">
        <f>'Serviços eventuais'!G139</f>
        <v>34446</v>
      </c>
      <c r="G232" s="52">
        <f>'Serviços eventuais'!B139</f>
        <v>103913</v>
      </c>
      <c r="H232" s="53"/>
    </row>
    <row r="233" spans="1:8" s="44" customFormat="1" ht="25.5">
      <c r="A233" s="49" t="str">
        <f>'Serviços eventuais'!A140</f>
        <v>3.102</v>
      </c>
      <c r="B233" s="50" t="str">
        <f>'Serviços eventuais'!C140</f>
        <v>COMPACTAÇÃO MECÂNICA DE SOLO PARA EXECUÇÃO DE RADIER, PISO DE CONCRETO OU LAJE SOBRE SOLO, COM COMPACTADOR DE SOLOS A PERCUSSÃO</v>
      </c>
      <c r="C233" s="51" t="str">
        <f>'Serviços eventuais'!D140</f>
        <v>M2</v>
      </c>
      <c r="D233" s="51">
        <f>'Serviços eventuais'!E140</f>
        <v>300</v>
      </c>
      <c r="E233" s="496">
        <f>'Serviços eventuais'!F140</f>
        <v>3.43</v>
      </c>
      <c r="F233" s="496">
        <f>'Serviços eventuais'!G140</f>
        <v>1029</v>
      </c>
      <c r="G233" s="52">
        <f>'Serviços eventuais'!B140</f>
        <v>97083</v>
      </c>
      <c r="H233" s="53"/>
    </row>
    <row r="234" spans="1:8" s="44" customFormat="1" ht="25.5">
      <c r="A234" s="49" t="str">
        <f>'Serviços eventuais'!A141</f>
        <v>3.103</v>
      </c>
      <c r="B234" s="50" t="str">
        <f>'Serviços eventuais'!C141</f>
        <v>PISO EM PEDRA PORTUGUESA ASSENTADO SOBRE ARGAMASSA SECA DE CIMENTO E AREIA, REJUNTADO COM CIMENTO</v>
      </c>
      <c r="C234" s="51" t="str">
        <f>'Serviços eventuais'!D141</f>
        <v>M2</v>
      </c>
      <c r="D234" s="51">
        <f>'Serviços eventuais'!E141</f>
        <v>10</v>
      </c>
      <c r="E234" s="496">
        <f>'Serviços eventuais'!F141</f>
        <v>202.33</v>
      </c>
      <c r="F234" s="496">
        <f>'Serviços eventuais'!G141</f>
        <v>2023.3</v>
      </c>
      <c r="G234" s="52">
        <f>'Serviços eventuais'!B141</f>
        <v>101090</v>
      </c>
      <c r="H234" s="53"/>
    </row>
    <row r="235" spans="1:8" s="44" customFormat="1">
      <c r="A235" s="49" t="str">
        <f>'Serviços eventuais'!A142</f>
        <v>3.104</v>
      </c>
      <c r="B235" s="50" t="str">
        <f>'Serviços eventuais'!C142</f>
        <v>LIMPEZA MANUAL DE VEGETAÇÃO EM TERRENO COM ENXADA</v>
      </c>
      <c r="C235" s="51" t="str">
        <f>'Serviços eventuais'!D142</f>
        <v>M2</v>
      </c>
      <c r="D235" s="51">
        <f>'Serviços eventuais'!E142</f>
        <v>2330</v>
      </c>
      <c r="E235" s="496">
        <f>'Serviços eventuais'!F142</f>
        <v>3.23</v>
      </c>
      <c r="F235" s="496">
        <f>'Serviços eventuais'!G142</f>
        <v>7525.9</v>
      </c>
      <c r="G235" s="52" t="str">
        <f>'Serviços eventuais'!B142</f>
        <v>98524</v>
      </c>
      <c r="H235" s="53"/>
    </row>
    <row r="236" spans="1:8" s="44" customFormat="1">
      <c r="A236" s="49" t="str">
        <f>'Serviços eventuais'!A143</f>
        <v>3.105</v>
      </c>
      <c r="B236" s="50" t="str">
        <f>'Serviços eventuais'!C143</f>
        <v>MAO DE OBRA - Engenheiro Pleno com encargos complementares</v>
      </c>
      <c r="C236" s="51" t="str">
        <f>'Serviços eventuais'!D143</f>
        <v>H</v>
      </c>
      <c r="D236" s="51">
        <f>'Serviços eventuais'!E143</f>
        <v>50</v>
      </c>
      <c r="E236" s="496">
        <f>'Serviços eventuais'!F143</f>
        <v>126.1</v>
      </c>
      <c r="F236" s="496">
        <f>'Serviços eventuais'!G143</f>
        <v>6305</v>
      </c>
      <c r="G236" s="52">
        <f>'Serviços eventuais'!B143</f>
        <v>90778</v>
      </c>
      <c r="H236" s="53"/>
    </row>
    <row r="237" spans="1:8" s="44" customFormat="1">
      <c r="A237" s="49" t="str">
        <f>'Serviços eventuais'!A144</f>
        <v>3.106</v>
      </c>
      <c r="B237" s="50" t="str">
        <f>'Serviços eventuais'!C144</f>
        <v>MAO DE OBRA - Arquiteto Pleno com encargos complementares</v>
      </c>
      <c r="C237" s="51" t="str">
        <f>'Serviços eventuais'!D144</f>
        <v>H</v>
      </c>
      <c r="D237" s="51">
        <f>'Serviços eventuais'!E144</f>
        <v>120</v>
      </c>
      <c r="E237" s="496">
        <f>'Serviços eventuais'!F144</f>
        <v>115.39</v>
      </c>
      <c r="F237" s="496">
        <f>'Serviços eventuais'!G144</f>
        <v>13846.8</v>
      </c>
      <c r="G237" s="52" t="str">
        <f>'Serviços eventuais'!B144</f>
        <v>90769</v>
      </c>
      <c r="H237" s="53"/>
    </row>
    <row r="238" spans="1:8" s="44" customFormat="1" ht="25.5">
      <c r="A238" s="49" t="str">
        <f>'Serviços eventuais'!A145</f>
        <v>3.107</v>
      </c>
      <c r="B238" s="50" t="str">
        <f>'Serviços eventuais'!C145</f>
        <v>MAO DE OBRA - Técnico eletrotécnico, eletrônico e demais especialidades com encargos complementares</v>
      </c>
      <c r="C238" s="51" t="str">
        <f>'Serviços eventuais'!D145</f>
        <v>H</v>
      </c>
      <c r="D238" s="51">
        <f>'Serviços eventuais'!E145</f>
        <v>100</v>
      </c>
      <c r="E238" s="496">
        <f>'Serviços eventuais'!F145</f>
        <v>36.22</v>
      </c>
      <c r="F238" s="496">
        <f>'Serviços eventuais'!G145</f>
        <v>3622</v>
      </c>
      <c r="G238" s="52" t="str">
        <f>'Serviços eventuais'!B145</f>
        <v>88266</v>
      </c>
      <c r="H238" s="53"/>
    </row>
    <row r="239" spans="1:8" s="44" customFormat="1" ht="38.25">
      <c r="A239" s="49" t="str">
        <f>'Serviços eventuais'!A146</f>
        <v>3.108</v>
      </c>
      <c r="B239" s="50" t="str">
        <f>'Serviços eventuais'!C146</f>
        <v>MAO DE OBRA - Oficial (Pedreiro, Serralheiro, ladrilheiro, carpinteiro, armador, eletricista, marceneiro, serralheiro, soldador, gesseiro, montador, pintor, impermeabilizador e vidraceiro) com encargos complementares</v>
      </c>
      <c r="C239" s="51" t="str">
        <f>'Serviços eventuais'!D146</f>
        <v>H</v>
      </c>
      <c r="D239" s="51">
        <f>'Serviços eventuais'!E146</f>
        <v>500</v>
      </c>
      <c r="E239" s="496">
        <f>'Serviços eventuais'!F146</f>
        <v>29.88</v>
      </c>
      <c r="F239" s="496">
        <f>'Serviços eventuais'!G146</f>
        <v>14940</v>
      </c>
      <c r="G239" s="52" t="str">
        <f>'Serviços eventuais'!B146</f>
        <v>88264</v>
      </c>
      <c r="H239" s="53"/>
    </row>
    <row r="240" spans="1:8" s="44" customFormat="1">
      <c r="A240" s="49" t="str">
        <f>'Serviços eventuais'!A147</f>
        <v>3.109</v>
      </c>
      <c r="B240" s="50" t="str">
        <f>'Serviços eventuais'!C147</f>
        <v>MAO DE OBRA -  Ajudante geral com encargos complementares</v>
      </c>
      <c r="C240" s="51" t="str">
        <f>'Serviços eventuais'!D147</f>
        <v>H</v>
      </c>
      <c r="D240" s="51">
        <f>'Serviços eventuais'!E147</f>
        <v>400</v>
      </c>
      <c r="E240" s="496">
        <f>'Serviços eventuais'!F147</f>
        <v>21.77</v>
      </c>
      <c r="F240" s="496">
        <f>'Serviços eventuais'!G147</f>
        <v>8708</v>
      </c>
      <c r="G240" s="52" t="str">
        <f>'Serviços eventuais'!B147</f>
        <v>88252</v>
      </c>
      <c r="H240" s="53"/>
    </row>
    <row r="241" spans="1:14" s="44" customFormat="1" ht="25.5">
      <c r="A241" s="49" t="str">
        <f>'Serviços eventuais'!A148</f>
        <v>3.110</v>
      </c>
      <c r="B241" s="50" t="str">
        <f>'Serviços eventuais'!C148</f>
        <v>MAO DE OBRA - Marceneiro especializado em manutenção de móveis - pequenos reparos e ajustes - com encargos complementares</v>
      </c>
      <c r="C241" s="51" t="str">
        <f>'Serviços eventuais'!D148</f>
        <v>H</v>
      </c>
      <c r="D241" s="51">
        <f>'Serviços eventuais'!E148</f>
        <v>80</v>
      </c>
      <c r="E241" s="496">
        <f>'Serviços eventuais'!F148</f>
        <v>27.63</v>
      </c>
      <c r="F241" s="496">
        <f>'Serviços eventuais'!G148</f>
        <v>2210.4</v>
      </c>
      <c r="G241" s="52">
        <f>'Serviços eventuais'!B148</f>
        <v>88273</v>
      </c>
      <c r="H241" s="53"/>
    </row>
    <row r="242" spans="1:14" s="44" customFormat="1">
      <c r="A242" s="49"/>
      <c r="B242" s="50"/>
      <c r="C242" s="51"/>
      <c r="D242" s="51"/>
      <c r="E242" s="50"/>
      <c r="F242" s="50"/>
      <c r="G242" s="52"/>
      <c r="H242" s="53"/>
    </row>
    <row r="243" spans="1:14" ht="21.75" customHeight="1" thickBot="1">
      <c r="A243" s="54"/>
      <c r="B243" s="48"/>
      <c r="C243" s="55"/>
      <c r="D243" s="56"/>
      <c r="E243" s="57"/>
      <c r="F243" s="98">
        <f>SUM(F97:F241)</f>
        <v>924628.55000000028</v>
      </c>
      <c r="G243" s="58"/>
      <c r="H243" s="44"/>
      <c r="I243" s="59" t="e">
        <f>I177/#REF!</f>
        <v>#REF!</v>
      </c>
      <c r="J243" s="59" t="e">
        <f>J177/#REF!</f>
        <v>#REF!</v>
      </c>
      <c r="K243" s="59" t="e">
        <f>K177/#REF!</f>
        <v>#REF!</v>
      </c>
      <c r="L243" s="59" t="e">
        <f>L177/#REF!</f>
        <v>#REF!</v>
      </c>
      <c r="M243" s="59" t="e">
        <f>M177/#REF!</f>
        <v>#REF!</v>
      </c>
      <c r="N243" s="59" t="e">
        <f>N177/#REF!</f>
        <v>#REF!</v>
      </c>
    </row>
    <row r="244" spans="1:14" ht="6.75" customHeight="1" thickBot="1">
      <c r="A244" s="719"/>
      <c r="B244" s="720"/>
      <c r="C244" s="720"/>
      <c r="D244" s="720"/>
      <c r="E244" s="720"/>
      <c r="F244" s="720"/>
      <c r="G244" s="721"/>
    </row>
    <row r="245" spans="1:14" ht="17.25" customHeight="1" thickBot="1">
      <c r="A245" s="60"/>
      <c r="B245" s="61" t="s">
        <v>1352</v>
      </c>
      <c r="C245" s="62" t="s">
        <v>1350</v>
      </c>
      <c r="D245" s="501"/>
      <c r="E245" s="63"/>
      <c r="F245" s="63">
        <f>F243</f>
        <v>924628.55000000028</v>
      </c>
      <c r="G245" s="64"/>
    </row>
    <row r="246" spans="1:14" ht="15.75" customHeight="1" thickBot="1">
      <c r="A246" s="60"/>
      <c r="B246" s="61" t="s">
        <v>1353</v>
      </c>
      <c r="C246" s="62" t="s">
        <v>1350</v>
      </c>
      <c r="D246" s="502">
        <v>0.28360000000000002</v>
      </c>
      <c r="E246" s="65"/>
      <c r="F246" s="97">
        <f>'Serviços eventuais'!G151</f>
        <v>0.28359639436619744</v>
      </c>
      <c r="G246" s="64"/>
    </row>
    <row r="247" spans="1:14" ht="15.75" customHeight="1" thickBot="1">
      <c r="A247" s="60"/>
      <c r="B247" s="61" t="s">
        <v>1354</v>
      </c>
      <c r="C247" s="62" t="s">
        <v>1350</v>
      </c>
      <c r="D247" s="694"/>
      <c r="E247" s="694"/>
      <c r="F247" s="76">
        <f>'Serviços eventuais'!G152</f>
        <v>1186849.8729080455</v>
      </c>
      <c r="G247" s="64"/>
    </row>
    <row r="248" spans="1:14" ht="15.75" customHeight="1" thickBot="1">
      <c r="A248" s="99"/>
      <c r="B248" s="100"/>
      <c r="C248" s="101"/>
      <c r="D248" s="484"/>
      <c r="E248" s="102"/>
      <c r="F248" s="102"/>
      <c r="G248" s="103"/>
    </row>
    <row r="249" spans="1:14" ht="18.75" customHeight="1" thickBot="1">
      <c r="A249" s="695" t="s">
        <v>129</v>
      </c>
      <c r="B249" s="696"/>
      <c r="C249" s="696"/>
      <c r="D249" s="696"/>
      <c r="E249" s="696"/>
      <c r="F249" s="696"/>
      <c r="G249" s="697"/>
    </row>
    <row r="250" spans="1:14" ht="19.5" customHeight="1" thickBot="1">
      <c r="A250" s="698" t="s">
        <v>1539</v>
      </c>
      <c r="B250" s="699"/>
      <c r="C250" s="699"/>
      <c r="D250" s="699"/>
      <c r="E250" s="700"/>
      <c r="F250" s="61"/>
      <c r="G250" s="66">
        <f>F247+F92</f>
        <v>1464907.5534551155</v>
      </c>
    </row>
    <row r="251" spans="1:14" ht="13.5" thickBot="1">
      <c r="A251" s="701"/>
      <c r="B251" s="702"/>
      <c r="C251" s="702"/>
      <c r="D251" s="702"/>
      <c r="E251" s="702"/>
      <c r="F251" s="702"/>
      <c r="G251" s="703"/>
    </row>
  </sheetData>
  <mergeCells count="16">
    <mergeCell ref="A4:G4"/>
    <mergeCell ref="A1:B1"/>
    <mergeCell ref="C1:D1"/>
    <mergeCell ref="A3:G3"/>
    <mergeCell ref="A244:G244"/>
    <mergeCell ref="B5:G5"/>
    <mergeCell ref="B95:G95"/>
    <mergeCell ref="D247:E247"/>
    <mergeCell ref="A249:G249"/>
    <mergeCell ref="A250:E250"/>
    <mergeCell ref="A251:G251"/>
    <mergeCell ref="A90:B90"/>
    <mergeCell ref="A91:B91"/>
    <mergeCell ref="A92:B92"/>
    <mergeCell ref="D92:E92"/>
    <mergeCell ref="A94:G94"/>
  </mergeCells>
  <phoneticPr fontId="15" type="noConversion"/>
  <pageMargins left="0.511811024" right="0.511811024" top="0.78740157499999996" bottom="0.78740157499999996" header="0.31496062000000002" footer="0.31496062000000002"/>
  <pageSetup paperSize="9" scale="5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077AF-F566-4FDD-8732-7FF75DFB119C}">
  <sheetPr>
    <pageSetUpPr fitToPage="1"/>
  </sheetPr>
  <dimension ref="B2:P37"/>
  <sheetViews>
    <sheetView topLeftCell="A7" workbookViewId="0">
      <selection activeCell="O17" sqref="O17"/>
    </sheetView>
  </sheetViews>
  <sheetFormatPr defaultRowHeight="15"/>
  <cols>
    <col min="14" max="14" width="12.140625" customWidth="1"/>
    <col min="15" max="15" width="12" customWidth="1"/>
  </cols>
  <sheetData>
    <row r="2" spans="2:15" ht="33.75" customHeight="1">
      <c r="B2" s="726" t="s">
        <v>1355</v>
      </c>
      <c r="C2" s="726"/>
      <c r="D2" s="726"/>
      <c r="E2" s="726"/>
      <c r="F2" s="726"/>
      <c r="G2" s="726"/>
      <c r="H2" s="726"/>
      <c r="I2" s="726"/>
    </row>
    <row r="4" spans="2:15">
      <c r="L4" s="725" t="s">
        <v>1356</v>
      </c>
      <c r="M4" s="725"/>
      <c r="N4" s="108">
        <v>3.4500000000000003E-2</v>
      </c>
      <c r="O4" s="108">
        <v>3.4500000000000003E-2</v>
      </c>
    </row>
    <row r="5" spans="2:15">
      <c r="L5" s="725" t="s">
        <v>1357</v>
      </c>
      <c r="M5" s="725"/>
      <c r="N5" s="108">
        <v>4.7999999999999996E-3</v>
      </c>
      <c r="O5" s="108">
        <v>4.7999999999999996E-3</v>
      </c>
    </row>
    <row r="6" spans="2:15">
      <c r="L6" s="725" t="s">
        <v>1358</v>
      </c>
      <c r="M6" s="725"/>
      <c r="N6" s="108">
        <v>8.5000000000000006E-3</v>
      </c>
      <c r="O6" s="108">
        <v>8.5000000000000006E-3</v>
      </c>
    </row>
    <row r="7" spans="2:15">
      <c r="L7" s="725" t="s">
        <v>1359</v>
      </c>
      <c r="M7" s="725"/>
      <c r="N7" s="108">
        <v>8.5000000000000006E-3</v>
      </c>
      <c r="O7" s="108">
        <v>8.5000000000000006E-3</v>
      </c>
    </row>
    <row r="8" spans="2:15">
      <c r="L8" s="725" t="s">
        <v>534</v>
      </c>
      <c r="M8" s="725"/>
      <c r="N8" s="108">
        <v>5.11E-2</v>
      </c>
      <c r="O8" s="108">
        <v>5.11E-2</v>
      </c>
    </row>
    <row r="9" spans="2:15">
      <c r="L9" s="727" t="s">
        <v>1360</v>
      </c>
      <c r="M9" s="728"/>
      <c r="N9" s="108">
        <f>N10+N11+N12</f>
        <v>3.6499999999999998E-2</v>
      </c>
      <c r="O9" s="104">
        <f>O10+O11+O12</f>
        <v>9.2499999999999999E-2</v>
      </c>
    </row>
    <row r="10" spans="2:15">
      <c r="L10" s="105"/>
      <c r="M10" t="s">
        <v>1361</v>
      </c>
      <c r="N10" s="108">
        <v>0.03</v>
      </c>
      <c r="O10" s="104">
        <v>7.5999999999999998E-2</v>
      </c>
    </row>
    <row r="11" spans="2:15">
      <c r="L11" s="105"/>
      <c r="M11" t="s">
        <v>1362</v>
      </c>
      <c r="N11" s="108">
        <v>6.4999999999999997E-3</v>
      </c>
      <c r="O11" s="104">
        <v>1.6500000000000001E-2</v>
      </c>
    </row>
    <row r="12" spans="2:15">
      <c r="L12" s="106"/>
      <c r="M12" s="107" t="s">
        <v>1363</v>
      </c>
      <c r="N12" s="108">
        <v>0</v>
      </c>
      <c r="O12" s="108">
        <v>0</v>
      </c>
    </row>
    <row r="14" spans="2:15" ht="21">
      <c r="L14" s="729" t="s">
        <v>1364</v>
      </c>
      <c r="M14" s="729"/>
      <c r="N14" s="110">
        <f>(((1+N4+N5+N6)*(1+N7)*(1+N8))/(1-N9))-1</f>
        <v>0.15278047942916406</v>
      </c>
      <c r="O14" s="110">
        <f>(((1+O4+O5+O6)*(1+O7)*(1+O8))/(1-O9))-1</f>
        <v>0.22391624455096393</v>
      </c>
    </row>
    <row r="27" spans="12:16">
      <c r="L27" s="725" t="s">
        <v>1356</v>
      </c>
      <c r="M27" s="725"/>
      <c r="N27" s="108">
        <v>0.04</v>
      </c>
      <c r="O27" s="108">
        <v>0.04</v>
      </c>
      <c r="P27" s="109">
        <f>O27+O28+O29</f>
        <v>6.0700000000000004E-2</v>
      </c>
    </row>
    <row r="28" spans="12:16">
      <c r="L28" s="725" t="s">
        <v>1357</v>
      </c>
      <c r="M28" s="725"/>
      <c r="N28" s="108">
        <v>8.0000000000000002E-3</v>
      </c>
      <c r="O28" s="108">
        <v>8.0000000000000002E-3</v>
      </c>
    </row>
    <row r="29" spans="12:16">
      <c r="L29" s="725" t="s">
        <v>1358</v>
      </c>
      <c r="M29" s="725"/>
      <c r="N29" s="108">
        <v>1.2699999999999999E-2</v>
      </c>
      <c r="O29" s="108">
        <v>1.2699999999999999E-2</v>
      </c>
    </row>
    <row r="30" spans="12:16">
      <c r="L30" s="725" t="s">
        <v>1359</v>
      </c>
      <c r="M30" s="725"/>
      <c r="N30" s="108">
        <v>0</v>
      </c>
      <c r="O30" s="108">
        <v>0</v>
      </c>
    </row>
    <row r="31" spans="12:16">
      <c r="L31" s="725" t="s">
        <v>534</v>
      </c>
      <c r="M31" s="725"/>
      <c r="N31" s="108">
        <v>7.3999999999999996E-2</v>
      </c>
      <c r="O31" s="108">
        <v>7.3999999999999996E-2</v>
      </c>
    </row>
    <row r="32" spans="12:16">
      <c r="L32" s="727" t="s">
        <v>1360</v>
      </c>
      <c r="M32" s="728"/>
      <c r="N32" s="108">
        <f>N33+N34+N35</f>
        <v>5.6499999999999995E-2</v>
      </c>
      <c r="O32" s="104">
        <f>O33+O34+O35</f>
        <v>0.1125</v>
      </c>
    </row>
    <row r="33" spans="12:15">
      <c r="L33" s="105"/>
      <c r="M33" t="s">
        <v>1361</v>
      </c>
      <c r="N33" s="108">
        <v>0.03</v>
      </c>
      <c r="O33" s="104">
        <v>7.5999999999999998E-2</v>
      </c>
    </row>
    <row r="34" spans="12:15">
      <c r="L34" s="105"/>
      <c r="M34" t="s">
        <v>1362</v>
      </c>
      <c r="N34" s="108">
        <v>6.4999999999999997E-3</v>
      </c>
      <c r="O34" s="104">
        <v>1.6500000000000001E-2</v>
      </c>
    </row>
    <row r="35" spans="12:15">
      <c r="L35" s="106"/>
      <c r="M35" s="107" t="s">
        <v>1363</v>
      </c>
      <c r="N35" s="108">
        <v>0.02</v>
      </c>
      <c r="O35" s="108">
        <v>0.02</v>
      </c>
    </row>
    <row r="37" spans="12:15" ht="21">
      <c r="L37" s="729" t="s">
        <v>1364</v>
      </c>
      <c r="M37" s="729"/>
      <c r="N37" s="110">
        <f>(((1+N27+N28+N29)*(1+N30)*(1+N31))/(1-N32))-1</f>
        <v>0.20741049284578694</v>
      </c>
      <c r="O37" s="110">
        <f>(((1+O27+O28+O29)*(1+O30)*(1+O31))/(1-O32))-1</f>
        <v>0.28359639436619744</v>
      </c>
    </row>
  </sheetData>
  <mergeCells count="15">
    <mergeCell ref="L31:M31"/>
    <mergeCell ref="L32:M32"/>
    <mergeCell ref="L37:M37"/>
    <mergeCell ref="L9:M9"/>
    <mergeCell ref="L14:M14"/>
    <mergeCell ref="L27:M27"/>
    <mergeCell ref="L28:M28"/>
    <mergeCell ref="L29:M29"/>
    <mergeCell ref="L30:M30"/>
    <mergeCell ref="L8:M8"/>
    <mergeCell ref="B2:I2"/>
    <mergeCell ref="L4:M4"/>
    <mergeCell ref="L5:M5"/>
    <mergeCell ref="L6:M6"/>
    <mergeCell ref="L7:M7"/>
  </mergeCells>
  <pageMargins left="0.511811024" right="0.511811024" top="0.78740157499999996" bottom="0.78740157499999996" header="0.31496062000000002" footer="0.31496062000000002"/>
  <pageSetup paperSize="9" scale="6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9CC20-77CD-4C3E-AA5F-C06766C4D157}">
  <dimension ref="A3:C15"/>
  <sheetViews>
    <sheetView workbookViewId="0">
      <selection activeCell="A25" sqref="A25"/>
    </sheetView>
  </sheetViews>
  <sheetFormatPr defaultRowHeight="15"/>
  <cols>
    <col min="1" max="1" width="43.7109375" customWidth="1"/>
    <col min="2" max="2" width="32" customWidth="1"/>
    <col min="3" max="3" width="36.42578125" customWidth="1"/>
  </cols>
  <sheetData>
    <row r="3" spans="1:3" ht="15.75">
      <c r="A3" s="507"/>
    </row>
    <row r="4" spans="1:3" ht="15.75">
      <c r="A4" s="507"/>
    </row>
    <row r="5" spans="1:3" ht="16.5" thickBot="1">
      <c r="A5" s="508"/>
    </row>
    <row r="6" spans="1:3" ht="16.5" thickBot="1">
      <c r="A6" s="509" t="s">
        <v>1541</v>
      </c>
      <c r="B6" s="510" t="s">
        <v>1542</v>
      </c>
      <c r="C6" s="510" t="s">
        <v>1543</v>
      </c>
    </row>
    <row r="7" spans="1:3" ht="15.75">
      <c r="A7" s="511" t="s">
        <v>1544</v>
      </c>
      <c r="B7" s="732">
        <f>'Planilha IN05'!M131</f>
        <v>63800.952101104645</v>
      </c>
      <c r="C7" s="732">
        <f>B7*12</f>
        <v>765611.42521325569</v>
      </c>
    </row>
    <row r="8" spans="1:3" ht="15.75">
      <c r="A8" s="511" t="s">
        <v>1545</v>
      </c>
      <c r="B8" s="733"/>
      <c r="C8" s="733"/>
    </row>
    <row r="9" spans="1:3" ht="16.5" thickBot="1">
      <c r="A9" s="512" t="s">
        <v>1546</v>
      </c>
      <c r="B9" s="734"/>
      <c r="C9" s="734"/>
    </row>
    <row r="10" spans="1:3" ht="15.75">
      <c r="A10" s="511" t="s">
        <v>129</v>
      </c>
      <c r="B10" s="732" t="s">
        <v>1433</v>
      </c>
      <c r="C10" s="732">
        <f>'Planilha sintética corretiva'!G250</f>
        <v>1464907.5534551155</v>
      </c>
    </row>
    <row r="11" spans="1:3" ht="15.75">
      <c r="A11" s="511" t="s">
        <v>1549</v>
      </c>
      <c r="B11" s="733"/>
      <c r="C11" s="733"/>
    </row>
    <row r="12" spans="1:3" ht="16.5" thickBot="1">
      <c r="A12" s="512" t="s">
        <v>1547</v>
      </c>
      <c r="B12" s="734"/>
      <c r="C12" s="734"/>
    </row>
    <row r="13" spans="1:3" ht="47.25" customHeight="1" thickBot="1">
      <c r="A13" s="730" t="s">
        <v>1548</v>
      </c>
      <c r="B13" s="731"/>
      <c r="C13" s="514">
        <f>C7+C10</f>
        <v>2230518.9786683712</v>
      </c>
    </row>
    <row r="14" spans="1:3" ht="47.25" customHeight="1" thickBot="1">
      <c r="A14" s="730" t="s">
        <v>1550</v>
      </c>
      <c r="B14" s="731"/>
      <c r="C14" s="514">
        <f>C13*2</f>
        <v>4461037.9573367424</v>
      </c>
    </row>
    <row r="15" spans="1:3" ht="18.75">
      <c r="A15" s="513"/>
    </row>
  </sheetData>
  <mergeCells count="6">
    <mergeCell ref="A14:B14"/>
    <mergeCell ref="B7:B9"/>
    <mergeCell ref="C7:C9"/>
    <mergeCell ref="B10:B12"/>
    <mergeCell ref="C10:C12"/>
    <mergeCell ref="A13:B1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Planilha IN05</vt:lpstr>
      <vt:lpstr>materiais da preventiva</vt:lpstr>
      <vt:lpstr>Materiais de reposição</vt:lpstr>
      <vt:lpstr>Serviços eventuais</vt:lpstr>
      <vt:lpstr>CPU_</vt:lpstr>
      <vt:lpstr>Planilha sintética corretiva</vt:lpstr>
      <vt:lpstr>BDI</vt:lpstr>
      <vt:lpstr>RESUMO PREÇO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Gerusa Vaz</dc:creator>
  <cp:keywords/>
  <dc:description/>
  <cp:lastModifiedBy>Gerusa de Paula Vaz</cp:lastModifiedBy>
  <cp:revision/>
  <dcterms:created xsi:type="dcterms:W3CDTF">2016-09-30T13:27:52Z</dcterms:created>
  <dcterms:modified xsi:type="dcterms:W3CDTF">2023-11-01T13:25:35Z</dcterms:modified>
  <cp:category/>
  <cp:contentStatus/>
</cp:coreProperties>
</file>