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gerusa.vaz\Downloads\"/>
    </mc:Choice>
  </mc:AlternateContent>
  <xr:revisionPtr revIDLastSave="0" documentId="13_ncr:1_{7485E462-C6A3-42E8-8869-C15645A2B998}" xr6:coauthVersionLast="47" xr6:coauthVersionMax="47" xr10:uidLastSave="{00000000-0000-0000-0000-000000000000}"/>
  <bookViews>
    <workbookView xWindow="-28920" yWindow="-120" windowWidth="29040" windowHeight="15840" tabRatio="744" xr2:uid="{00000000-000D-0000-FFFF-FFFF00000000}"/>
  </bookViews>
  <sheets>
    <sheet name="Planilha Resumo Custos" sheetId="140" r:id="rId1"/>
    <sheet name="MC" sheetId="30" r:id="rId2"/>
    <sheet name="M2" sheetId="121" r:id="rId3"/>
    <sheet name="Servente" sheetId="119" r:id="rId4"/>
    <sheet name="MO residente" sheetId="128" r:id="rId5"/>
    <sheet name="MO residente SP" sheetId="154" r:id="rId6"/>
    <sheet name="VIGILANTE" sheetId="142" r:id="rId7"/>
    <sheet name="BRIGADISTA" sheetId="149" r:id="rId8"/>
    <sheet name="MOTORISTA" sheetId="153" r:id="rId9"/>
    <sheet name="Piscineiro" sheetId="138" r:id="rId10"/>
    <sheet name="Carregador" sheetId="147" r:id="rId11"/>
    <sheet name="Marceneiro" sheetId="148" r:id="rId12"/>
    <sheet name="Unif_Equip" sheetId="152" r:id="rId13"/>
    <sheet name="Mat. Limp." sheetId="117" r:id="rId14"/>
    <sheet name="Mat. Copa" sheetId="139" r:id="rId15"/>
    <sheet name="Mat. Jardim" sheetId="144" r:id="rId16"/>
    <sheet name="Mat. prim socorros" sheetId="145" r:id="rId17"/>
    <sheet name="Serv Eventuais" sheetId="141" r:id="rId18"/>
  </sheets>
  <definedNames>
    <definedName name="_xlnm.Print_Area" localSheetId="7">BRIGADISTA!$A$1:$F$146</definedName>
    <definedName name="_xlnm.Print_Area" localSheetId="10">Carregador!#REF!</definedName>
    <definedName name="_xlnm.Print_Area" localSheetId="2">'M2'!$A$1:$I$61</definedName>
    <definedName name="_xlnm.Print_Area" localSheetId="11">Marceneiro!#REF!</definedName>
    <definedName name="_xlnm.Print_Area" localSheetId="14">'Mat. Copa'!$A$1:$I$42</definedName>
    <definedName name="_xlnm.Print_Area" localSheetId="15">'Mat. Jardim'!$A$1:$I$30</definedName>
    <definedName name="_xlnm.Print_Area" localSheetId="13">'Mat. Limp.'!$A$1:$I$72</definedName>
    <definedName name="_xlnm.Print_Area" localSheetId="16">'Mat. prim socorros'!$A$1:$I$39</definedName>
    <definedName name="_xlnm.Print_Area" localSheetId="1">MC!$A$1:$E$108</definedName>
    <definedName name="_xlnm.Print_Area" localSheetId="4">'MO residente'!#REF!</definedName>
    <definedName name="_xlnm.Print_Area" localSheetId="5">'MO residente SP'!#REF!</definedName>
    <definedName name="_xlnm.Print_Area" localSheetId="8">MOTORISTA!$A$1:$F$136</definedName>
    <definedName name="_xlnm.Print_Area" localSheetId="3">Servente!#REF!</definedName>
    <definedName name="_xlnm.Print_Area" localSheetId="12">Unif_Equip!$A$1:$V$193</definedName>
    <definedName name="_xlnm.Print_Area" localSheetId="6">VIGILANTE!$A$1:$E$138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2" i="128" l="1"/>
  <c r="D113" i="128" s="1"/>
  <c r="D22" i="128"/>
  <c r="I50" i="121"/>
  <c r="G36" i="140"/>
  <c r="E29" i="149"/>
  <c r="D29" i="149"/>
  <c r="E26" i="149"/>
  <c r="E24" i="149"/>
  <c r="D24" i="149"/>
  <c r="E137" i="142"/>
  <c r="D137" i="142"/>
  <c r="E136" i="142"/>
  <c r="D136" i="142"/>
  <c r="G39" i="140"/>
  <c r="G40" i="140"/>
  <c r="H40" i="140" s="1"/>
  <c r="G41" i="140"/>
  <c r="G37" i="140"/>
  <c r="H41" i="140"/>
  <c r="G21" i="140"/>
  <c r="E23" i="153"/>
  <c r="C143" i="153"/>
  <c r="C141" i="153"/>
  <c r="C139" i="153"/>
  <c r="D23" i="138"/>
  <c r="D23" i="149"/>
  <c r="I51" i="121"/>
  <c r="H51" i="121"/>
  <c r="F8" i="139"/>
  <c r="F7" i="139"/>
  <c r="D102" i="154"/>
  <c r="D106" i="154" s="1"/>
  <c r="D125" i="154" s="1"/>
  <c r="D74" i="154"/>
  <c r="D72" i="154"/>
  <c r="E57" i="154"/>
  <c r="D57" i="154"/>
  <c r="C38" i="30"/>
  <c r="C53" i="154" s="1"/>
  <c r="C45" i="30"/>
  <c r="C54" i="154" s="1"/>
  <c r="E54" i="154" s="1"/>
  <c r="E56" i="154"/>
  <c r="E55" i="154"/>
  <c r="D23" i="119"/>
  <c r="C115" i="154"/>
  <c r="C114" i="154"/>
  <c r="C113" i="154"/>
  <c r="E102" i="154"/>
  <c r="E106" i="154" s="1"/>
  <c r="E125" i="154" s="1"/>
  <c r="E92" i="154"/>
  <c r="D92" i="154"/>
  <c r="C92" i="154"/>
  <c r="C72" i="154"/>
  <c r="C34" i="154"/>
  <c r="E22" i="154"/>
  <c r="E27" i="154" s="1"/>
  <c r="D22" i="154"/>
  <c r="D27" i="154" s="1"/>
  <c r="E104" i="153"/>
  <c r="E59" i="153"/>
  <c r="E54" i="153"/>
  <c r="D104" i="153"/>
  <c r="E12" i="152"/>
  <c r="C58" i="153"/>
  <c r="C57" i="153"/>
  <c r="C56" i="153"/>
  <c r="C55" i="153"/>
  <c r="D35" i="149" l="1"/>
  <c r="D34" i="149"/>
  <c r="D54" i="154"/>
  <c r="D56" i="154"/>
  <c r="D55" i="154"/>
  <c r="C112" i="154"/>
  <c r="D121" i="154"/>
  <c r="D32" i="154"/>
  <c r="E32" i="154"/>
  <c r="E72" i="154"/>
  <c r="D33" i="154"/>
  <c r="E121" i="154"/>
  <c r="E33" i="154"/>
  <c r="D71" i="154" l="1"/>
  <c r="E71" i="154"/>
  <c r="E74" i="154"/>
  <c r="E34" i="154"/>
  <c r="D34" i="154"/>
  <c r="F39" i="140" l="1"/>
  <c r="H39" i="140" s="1"/>
  <c r="E121" i="153"/>
  <c r="D121" i="153"/>
  <c r="C117" i="153"/>
  <c r="C116" i="153"/>
  <c r="C115" i="153"/>
  <c r="D108" i="153"/>
  <c r="D127" i="153" s="1"/>
  <c r="E94" i="153"/>
  <c r="D94" i="153"/>
  <c r="C94" i="153"/>
  <c r="C74" i="153"/>
  <c r="D59" i="153"/>
  <c r="D58" i="153"/>
  <c r="D56" i="153"/>
  <c r="C36" i="153"/>
  <c r="D25" i="153"/>
  <c r="E25" i="153" s="1"/>
  <c r="E24" i="153"/>
  <c r="D24" i="153"/>
  <c r="D23" i="153"/>
  <c r="C114" i="153" l="1"/>
  <c r="E108" i="153"/>
  <c r="E127" i="153" s="1"/>
  <c r="D29" i="153"/>
  <c r="E27" i="153"/>
  <c r="D57" i="153"/>
  <c r="E26" i="153"/>
  <c r="E189" i="152"/>
  <c r="K30" i="141"/>
  <c r="F30" i="141" s="1"/>
  <c r="J4" i="30"/>
  <c r="D17" i="128" s="1"/>
  <c r="F18" i="145"/>
  <c r="F17" i="145"/>
  <c r="F27" i="141"/>
  <c r="E27" i="141"/>
  <c r="Q24" i="141"/>
  <c r="K24" i="141" s="1"/>
  <c r="Q23" i="141"/>
  <c r="L23" i="141"/>
  <c r="K23" i="141"/>
  <c r="F22" i="141"/>
  <c r="F19" i="141"/>
  <c r="J7" i="141"/>
  <c r="F7" i="141" s="1"/>
  <c r="J6" i="141"/>
  <c r="F6" i="141" s="1"/>
  <c r="F10" i="141"/>
  <c r="F11" i="141"/>
  <c r="F12" i="141"/>
  <c r="F13" i="141"/>
  <c r="F14" i="141"/>
  <c r="F15" i="141"/>
  <c r="F16" i="141"/>
  <c r="F17" i="141"/>
  <c r="F9" i="141"/>
  <c r="E82" i="152"/>
  <c r="F82" i="152" s="1"/>
  <c r="I82" i="152" s="1"/>
  <c r="E83" i="152"/>
  <c r="F83" i="152" s="1"/>
  <c r="I83" i="152" s="1"/>
  <c r="E81" i="152"/>
  <c r="F81" i="152" s="1"/>
  <c r="I81" i="152" s="1"/>
  <c r="U146" i="152"/>
  <c r="V146" i="152" s="1"/>
  <c r="S146" i="152"/>
  <c r="T146" i="152" s="1"/>
  <c r="U123" i="152"/>
  <c r="V123" i="152" s="1"/>
  <c r="S123" i="152"/>
  <c r="T123" i="152" s="1"/>
  <c r="Q114" i="152"/>
  <c r="M114" i="152"/>
  <c r="S113" i="152"/>
  <c r="U113" i="152"/>
  <c r="E113" i="152" s="1"/>
  <c r="F113" i="152" s="1"/>
  <c r="I113" i="152" s="1"/>
  <c r="S107" i="152"/>
  <c r="U99" i="152"/>
  <c r="E99" i="152" s="1"/>
  <c r="F99" i="152" s="1"/>
  <c r="I99" i="152" s="1"/>
  <c r="S99" i="152"/>
  <c r="T99" i="152" s="1"/>
  <c r="U135" i="152"/>
  <c r="V135" i="152" s="1"/>
  <c r="S135" i="152"/>
  <c r="T135" i="152" s="1"/>
  <c r="R135" i="152"/>
  <c r="U143" i="152"/>
  <c r="V143" i="152" s="1"/>
  <c r="S143" i="152"/>
  <c r="T143" i="152" s="1"/>
  <c r="R143" i="152"/>
  <c r="U140" i="152"/>
  <c r="V140" i="152" s="1"/>
  <c r="S140" i="152"/>
  <c r="T140" i="152" s="1"/>
  <c r="R140" i="152"/>
  <c r="E78" i="152"/>
  <c r="F78" i="152" s="1"/>
  <c r="I78" i="152" s="1"/>
  <c r="U71" i="152"/>
  <c r="V71" i="152" s="1"/>
  <c r="F48" i="117"/>
  <c r="F49" i="117"/>
  <c r="U147" i="152"/>
  <c r="V147" i="152" s="1"/>
  <c r="S147" i="152"/>
  <c r="T147" i="152" s="1"/>
  <c r="R147" i="152"/>
  <c r="U148" i="152"/>
  <c r="V148" i="152" s="1"/>
  <c r="S148" i="152"/>
  <c r="T148" i="152" s="1"/>
  <c r="R148" i="152"/>
  <c r="U101" i="152"/>
  <c r="E101" i="152" s="1"/>
  <c r="F101" i="152" s="1"/>
  <c r="I101" i="152" s="1"/>
  <c r="R101" i="152"/>
  <c r="S101" i="152" s="1"/>
  <c r="T101" i="152" s="1"/>
  <c r="J47" i="117"/>
  <c r="F47" i="117" s="1"/>
  <c r="F26" i="117"/>
  <c r="E9" i="144"/>
  <c r="F7" i="144"/>
  <c r="F8" i="144"/>
  <c r="F9" i="144"/>
  <c r="F10" i="144"/>
  <c r="F6" i="144"/>
  <c r="E10" i="144"/>
  <c r="E8" i="144"/>
  <c r="F12" i="144"/>
  <c r="E12" i="144"/>
  <c r="F5" i="144"/>
  <c r="J11" i="144"/>
  <c r="F11" i="144" s="1"/>
  <c r="L8" i="139"/>
  <c r="U100" i="152"/>
  <c r="E100" i="152" s="1"/>
  <c r="F100" i="152" s="1"/>
  <c r="I100" i="152" s="1"/>
  <c r="R100" i="152"/>
  <c r="S100" i="152" s="1"/>
  <c r="T100" i="152" s="1"/>
  <c r="F23" i="139"/>
  <c r="F24" i="139"/>
  <c r="F20" i="139"/>
  <c r="F21" i="139"/>
  <c r="F22" i="139"/>
  <c r="E24" i="139"/>
  <c r="F19" i="139"/>
  <c r="F18" i="139"/>
  <c r="E19" i="139"/>
  <c r="F12" i="139"/>
  <c r="F11" i="139"/>
  <c r="F14" i="139"/>
  <c r="F15" i="139"/>
  <c r="F16" i="139"/>
  <c r="F17" i="139"/>
  <c r="F13" i="139"/>
  <c r="E12" i="139"/>
  <c r="F9" i="139"/>
  <c r="F10" i="139"/>
  <c r="F6" i="139"/>
  <c r="F5" i="139"/>
  <c r="E6" i="139"/>
  <c r="E7" i="139"/>
  <c r="E8" i="139"/>
  <c r="E9" i="139"/>
  <c r="E10" i="139"/>
  <c r="E11" i="139"/>
  <c r="E13" i="139"/>
  <c r="E14" i="139"/>
  <c r="E15" i="139"/>
  <c r="M35" i="117"/>
  <c r="F35" i="117" s="1"/>
  <c r="F28" i="117"/>
  <c r="F41" i="117"/>
  <c r="F25" i="117"/>
  <c r="F19" i="117"/>
  <c r="U189" i="152"/>
  <c r="F189" i="152" s="1"/>
  <c r="F192" i="152" s="1"/>
  <c r="F193" i="152" s="1"/>
  <c r="S189" i="152"/>
  <c r="N189" i="152"/>
  <c r="L189" i="152"/>
  <c r="U180" i="152"/>
  <c r="E180" i="152" s="1"/>
  <c r="F180" i="152" s="1"/>
  <c r="F183" i="152" s="1"/>
  <c r="F184" i="152" s="1"/>
  <c r="S180" i="152"/>
  <c r="U168" i="152"/>
  <c r="V168" i="152" s="1"/>
  <c r="S168" i="152"/>
  <c r="T168" i="152" s="1"/>
  <c r="P168" i="152"/>
  <c r="N168" i="152"/>
  <c r="L168" i="152"/>
  <c r="U167" i="152"/>
  <c r="V167" i="152" s="1"/>
  <c r="S167" i="152"/>
  <c r="T167" i="152" s="1"/>
  <c r="P167" i="152"/>
  <c r="N167" i="152"/>
  <c r="L167" i="152"/>
  <c r="U166" i="152"/>
  <c r="V166" i="152" s="1"/>
  <c r="S166" i="152"/>
  <c r="T166" i="152" s="1"/>
  <c r="P166" i="152"/>
  <c r="N166" i="152"/>
  <c r="L166" i="152"/>
  <c r="U165" i="152"/>
  <c r="V165" i="152" s="1"/>
  <c r="S165" i="152"/>
  <c r="T165" i="152" s="1"/>
  <c r="P165" i="152"/>
  <c r="N165" i="152"/>
  <c r="L165" i="152"/>
  <c r="U164" i="152"/>
  <c r="V164" i="152" s="1"/>
  <c r="S164" i="152"/>
  <c r="T164" i="152" s="1"/>
  <c r="P164" i="152"/>
  <c r="N164" i="152"/>
  <c r="L164" i="152"/>
  <c r="U163" i="152"/>
  <c r="V163" i="152" s="1"/>
  <c r="S163" i="152"/>
  <c r="T163" i="152" s="1"/>
  <c r="P163" i="152"/>
  <c r="N163" i="152"/>
  <c r="L163" i="152"/>
  <c r="U162" i="152"/>
  <c r="V162" i="152" s="1"/>
  <c r="S162" i="152"/>
  <c r="T162" i="152" s="1"/>
  <c r="P162" i="152"/>
  <c r="N162" i="152"/>
  <c r="L162" i="152"/>
  <c r="U161" i="152"/>
  <c r="V161" i="152" s="1"/>
  <c r="S161" i="152"/>
  <c r="T161" i="152" s="1"/>
  <c r="P161" i="152"/>
  <c r="N161" i="152"/>
  <c r="L161" i="152"/>
  <c r="U160" i="152"/>
  <c r="V160" i="152" s="1"/>
  <c r="S160" i="152"/>
  <c r="T160" i="152" s="1"/>
  <c r="P160" i="152"/>
  <c r="N160" i="152"/>
  <c r="L160" i="152"/>
  <c r="U159" i="152"/>
  <c r="V159" i="152" s="1"/>
  <c r="S159" i="152"/>
  <c r="T159" i="152" s="1"/>
  <c r="P159" i="152"/>
  <c r="N159" i="152"/>
  <c r="L159" i="152"/>
  <c r="U158" i="152"/>
  <c r="V158" i="152" s="1"/>
  <c r="S158" i="152"/>
  <c r="T158" i="152" s="1"/>
  <c r="P158" i="152"/>
  <c r="N158" i="152"/>
  <c r="L158" i="152"/>
  <c r="U157" i="152"/>
  <c r="E157" i="152" s="1"/>
  <c r="F157" i="152" s="1"/>
  <c r="G157" i="152" s="1"/>
  <c r="I157" i="152" s="1"/>
  <c r="S157" i="152"/>
  <c r="T157" i="152" s="1"/>
  <c r="P157" i="152"/>
  <c r="N157" i="152"/>
  <c r="L157" i="152"/>
  <c r="U156" i="152"/>
  <c r="V156" i="152" s="1"/>
  <c r="S156" i="152"/>
  <c r="T156" i="152" s="1"/>
  <c r="P156" i="152"/>
  <c r="N156" i="152"/>
  <c r="L156" i="152"/>
  <c r="U155" i="152"/>
  <c r="V155" i="152" s="1"/>
  <c r="S155" i="152"/>
  <c r="T155" i="152" s="1"/>
  <c r="P155" i="152"/>
  <c r="N155" i="152"/>
  <c r="L155" i="152"/>
  <c r="U154" i="152"/>
  <c r="V154" i="152" s="1"/>
  <c r="S154" i="152"/>
  <c r="T154" i="152" s="1"/>
  <c r="P154" i="152"/>
  <c r="N154" i="152"/>
  <c r="L154" i="152"/>
  <c r="U153" i="152"/>
  <c r="V153" i="152" s="1"/>
  <c r="S153" i="152"/>
  <c r="T153" i="152" s="1"/>
  <c r="P153" i="152"/>
  <c r="N153" i="152"/>
  <c r="L153" i="152"/>
  <c r="U152" i="152"/>
  <c r="V152" i="152" s="1"/>
  <c r="S152" i="152"/>
  <c r="T152" i="152" s="1"/>
  <c r="P152" i="152"/>
  <c r="N152" i="152"/>
  <c r="L152" i="152"/>
  <c r="U151" i="152"/>
  <c r="V151" i="152" s="1"/>
  <c r="S151" i="152"/>
  <c r="T151" i="152" s="1"/>
  <c r="P151" i="152"/>
  <c r="N151" i="152"/>
  <c r="L151" i="152"/>
  <c r="U150" i="152"/>
  <c r="V150" i="152" s="1"/>
  <c r="S150" i="152"/>
  <c r="T150" i="152" s="1"/>
  <c r="P150" i="152"/>
  <c r="N150" i="152"/>
  <c r="L150" i="152"/>
  <c r="U149" i="152"/>
  <c r="E149" i="152" s="1"/>
  <c r="F149" i="152" s="1"/>
  <c r="G149" i="152" s="1"/>
  <c r="I149" i="152" s="1"/>
  <c r="S149" i="152"/>
  <c r="T149" i="152" s="1"/>
  <c r="P149" i="152"/>
  <c r="N149" i="152"/>
  <c r="L149" i="152"/>
  <c r="P148" i="152"/>
  <c r="N148" i="152"/>
  <c r="L148" i="152"/>
  <c r="P147" i="152"/>
  <c r="N147" i="152"/>
  <c r="L147" i="152"/>
  <c r="P146" i="152"/>
  <c r="N146" i="152"/>
  <c r="L146" i="152"/>
  <c r="U145" i="152"/>
  <c r="V145" i="152" s="1"/>
  <c r="S145" i="152"/>
  <c r="T145" i="152" s="1"/>
  <c r="P145" i="152"/>
  <c r="N145" i="152"/>
  <c r="L145" i="152"/>
  <c r="U144" i="152"/>
  <c r="V144" i="152" s="1"/>
  <c r="S144" i="152"/>
  <c r="T144" i="152" s="1"/>
  <c r="P144" i="152"/>
  <c r="N144" i="152"/>
  <c r="L144" i="152"/>
  <c r="P143" i="152"/>
  <c r="N143" i="152"/>
  <c r="L143" i="152"/>
  <c r="U142" i="152"/>
  <c r="V142" i="152" s="1"/>
  <c r="S142" i="152"/>
  <c r="T142" i="152" s="1"/>
  <c r="P142" i="152"/>
  <c r="N142" i="152"/>
  <c r="L142" i="152"/>
  <c r="U141" i="152"/>
  <c r="V141" i="152" s="1"/>
  <c r="S141" i="152"/>
  <c r="T141" i="152" s="1"/>
  <c r="P141" i="152"/>
  <c r="N141" i="152"/>
  <c r="L141" i="152"/>
  <c r="P140" i="152"/>
  <c r="N140" i="152"/>
  <c r="L140" i="152"/>
  <c r="U139" i="152"/>
  <c r="V139" i="152" s="1"/>
  <c r="S139" i="152"/>
  <c r="T139" i="152" s="1"/>
  <c r="P139" i="152"/>
  <c r="N139" i="152"/>
  <c r="L139" i="152"/>
  <c r="U138" i="152"/>
  <c r="V138" i="152" s="1"/>
  <c r="S138" i="152"/>
  <c r="T138" i="152" s="1"/>
  <c r="P138" i="152"/>
  <c r="N138" i="152"/>
  <c r="L138" i="152"/>
  <c r="U137" i="152"/>
  <c r="E137" i="152" s="1"/>
  <c r="F137" i="152" s="1"/>
  <c r="G137" i="152" s="1"/>
  <c r="I137" i="152" s="1"/>
  <c r="S137" i="152"/>
  <c r="T137" i="152" s="1"/>
  <c r="P137" i="152"/>
  <c r="N137" i="152"/>
  <c r="L137" i="152"/>
  <c r="U136" i="152"/>
  <c r="V136" i="152" s="1"/>
  <c r="S136" i="152"/>
  <c r="T136" i="152" s="1"/>
  <c r="P136" i="152"/>
  <c r="N136" i="152"/>
  <c r="L136" i="152"/>
  <c r="P135" i="152"/>
  <c r="N135" i="152"/>
  <c r="L135" i="152"/>
  <c r="U128" i="152"/>
  <c r="V128" i="152" s="1"/>
  <c r="S128" i="152"/>
  <c r="T128" i="152" s="1"/>
  <c r="P128" i="152"/>
  <c r="N128" i="152"/>
  <c r="L128" i="152"/>
  <c r="U127" i="152"/>
  <c r="V127" i="152" s="1"/>
  <c r="S127" i="152"/>
  <c r="T127" i="152" s="1"/>
  <c r="P127" i="152"/>
  <c r="N127" i="152"/>
  <c r="L127" i="152"/>
  <c r="U126" i="152"/>
  <c r="V126" i="152" s="1"/>
  <c r="S126" i="152"/>
  <c r="T126" i="152" s="1"/>
  <c r="P126" i="152"/>
  <c r="N126" i="152"/>
  <c r="L126" i="152"/>
  <c r="U125" i="152"/>
  <c r="V125" i="152" s="1"/>
  <c r="S125" i="152"/>
  <c r="T125" i="152" s="1"/>
  <c r="P125" i="152"/>
  <c r="N125" i="152"/>
  <c r="L125" i="152"/>
  <c r="U124" i="152"/>
  <c r="V124" i="152" s="1"/>
  <c r="S124" i="152"/>
  <c r="T124" i="152" s="1"/>
  <c r="P124" i="152"/>
  <c r="N124" i="152"/>
  <c r="L124" i="152"/>
  <c r="P123" i="152"/>
  <c r="N123" i="152"/>
  <c r="L123" i="152"/>
  <c r="U122" i="152"/>
  <c r="V122" i="152" s="1"/>
  <c r="S122" i="152"/>
  <c r="T122" i="152" s="1"/>
  <c r="P122" i="152"/>
  <c r="N122" i="152"/>
  <c r="L122" i="152"/>
  <c r="U107" i="152"/>
  <c r="V107" i="152" s="1"/>
  <c r="T107" i="152"/>
  <c r="P107" i="152"/>
  <c r="N107" i="152"/>
  <c r="L107" i="152"/>
  <c r="U98" i="152"/>
  <c r="E98" i="152" s="1"/>
  <c r="S98" i="152"/>
  <c r="T98" i="152" s="1"/>
  <c r="L98" i="152"/>
  <c r="U97" i="152"/>
  <c r="V97" i="152" s="1"/>
  <c r="S97" i="152"/>
  <c r="T97" i="152" s="1"/>
  <c r="N97" i="152"/>
  <c r="L97" i="152"/>
  <c r="U96" i="152"/>
  <c r="V96" i="152" s="1"/>
  <c r="S96" i="152"/>
  <c r="T96" i="152" s="1"/>
  <c r="N96" i="152"/>
  <c r="L96" i="152"/>
  <c r="U95" i="152"/>
  <c r="V95" i="152" s="1"/>
  <c r="S95" i="152"/>
  <c r="T95" i="152" s="1"/>
  <c r="N95" i="152"/>
  <c r="L95" i="152"/>
  <c r="U94" i="152"/>
  <c r="V94" i="152" s="1"/>
  <c r="S94" i="152"/>
  <c r="T94" i="152" s="1"/>
  <c r="P94" i="152"/>
  <c r="N94" i="152"/>
  <c r="L94" i="152"/>
  <c r="U93" i="152"/>
  <c r="V93" i="152" s="1"/>
  <c r="S93" i="152"/>
  <c r="T93" i="152" s="1"/>
  <c r="N93" i="152"/>
  <c r="L93" i="152"/>
  <c r="U92" i="152"/>
  <c r="V92" i="152" s="1"/>
  <c r="S92" i="152"/>
  <c r="T92" i="152" s="1"/>
  <c r="N92" i="152"/>
  <c r="L92" i="152"/>
  <c r="U91" i="152"/>
  <c r="V91" i="152" s="1"/>
  <c r="S91" i="152"/>
  <c r="T91" i="152" s="1"/>
  <c r="N91" i="152"/>
  <c r="L91" i="152"/>
  <c r="U80" i="152"/>
  <c r="V80" i="152" s="1"/>
  <c r="S80" i="152"/>
  <c r="T80" i="152" s="1"/>
  <c r="R80" i="152"/>
  <c r="U79" i="152"/>
  <c r="V79" i="152" s="1"/>
  <c r="S79" i="152"/>
  <c r="T79" i="152" s="1"/>
  <c r="R79" i="152"/>
  <c r="U77" i="152"/>
  <c r="E77" i="152" s="1"/>
  <c r="F77" i="152" s="1"/>
  <c r="S77" i="152"/>
  <c r="T77" i="152" s="1"/>
  <c r="P77" i="152"/>
  <c r="N77" i="152"/>
  <c r="L77" i="152"/>
  <c r="U76" i="152"/>
  <c r="V76" i="152" s="1"/>
  <c r="S76" i="152"/>
  <c r="T76" i="152" s="1"/>
  <c r="P76" i="152"/>
  <c r="N76" i="152"/>
  <c r="L76" i="152"/>
  <c r="U75" i="152"/>
  <c r="S75" i="152"/>
  <c r="T75" i="152" s="1"/>
  <c r="P75" i="152"/>
  <c r="N75" i="152"/>
  <c r="L75" i="152"/>
  <c r="U74" i="152"/>
  <c r="V74" i="152" s="1"/>
  <c r="S74" i="152"/>
  <c r="T74" i="152" s="1"/>
  <c r="P74" i="152"/>
  <c r="N74" i="152"/>
  <c r="L74" i="152"/>
  <c r="U73" i="152"/>
  <c r="E73" i="152" s="1"/>
  <c r="F73" i="152" s="1"/>
  <c r="S73" i="152"/>
  <c r="T73" i="152" s="1"/>
  <c r="P73" i="152"/>
  <c r="N73" i="152"/>
  <c r="L73" i="152"/>
  <c r="U72" i="152"/>
  <c r="V72" i="152" s="1"/>
  <c r="S72" i="152"/>
  <c r="T72" i="152" s="1"/>
  <c r="P72" i="152"/>
  <c r="N72" i="152"/>
  <c r="L72" i="152"/>
  <c r="S71" i="152"/>
  <c r="T71" i="152" s="1"/>
  <c r="P71" i="152"/>
  <c r="N71" i="152"/>
  <c r="L71" i="152"/>
  <c r="O62" i="152"/>
  <c r="P62" i="152" s="1"/>
  <c r="M62" i="152"/>
  <c r="N62" i="152" s="1"/>
  <c r="L62" i="152"/>
  <c r="J62" i="152"/>
  <c r="H62" i="152"/>
  <c r="O61" i="152"/>
  <c r="P61" i="152" s="1"/>
  <c r="M61" i="152"/>
  <c r="N61" i="152" s="1"/>
  <c r="L61" i="152"/>
  <c r="J61" i="152"/>
  <c r="H61" i="152"/>
  <c r="O60" i="152"/>
  <c r="P60" i="152" s="1"/>
  <c r="M60" i="152"/>
  <c r="N60" i="152" s="1"/>
  <c r="L60" i="152"/>
  <c r="J60" i="152"/>
  <c r="H60" i="152"/>
  <c r="O59" i="152"/>
  <c r="P59" i="152" s="1"/>
  <c r="M59" i="152"/>
  <c r="N59" i="152" s="1"/>
  <c r="L59" i="152"/>
  <c r="J59" i="152"/>
  <c r="H59" i="152"/>
  <c r="O58" i="152"/>
  <c r="P58" i="152" s="1"/>
  <c r="M58" i="152"/>
  <c r="N58" i="152" s="1"/>
  <c r="L58" i="152"/>
  <c r="J58" i="152"/>
  <c r="H58" i="152"/>
  <c r="O57" i="152"/>
  <c r="P57" i="152" s="1"/>
  <c r="M57" i="152"/>
  <c r="N57" i="152" s="1"/>
  <c r="L57" i="152"/>
  <c r="J57" i="152"/>
  <c r="H57" i="152"/>
  <c r="O56" i="152"/>
  <c r="P56" i="152" s="1"/>
  <c r="M56" i="152"/>
  <c r="N56" i="152" s="1"/>
  <c r="L56" i="152"/>
  <c r="J56" i="152"/>
  <c r="H56" i="152"/>
  <c r="O55" i="152"/>
  <c r="P55" i="152" s="1"/>
  <c r="M55" i="152"/>
  <c r="N55" i="152" s="1"/>
  <c r="L55" i="152"/>
  <c r="J55" i="152"/>
  <c r="H55" i="152"/>
  <c r="O49" i="152"/>
  <c r="P49" i="152" s="1"/>
  <c r="M49" i="152"/>
  <c r="N49" i="152" s="1"/>
  <c r="L49" i="152"/>
  <c r="J49" i="152"/>
  <c r="H49" i="152"/>
  <c r="O48" i="152"/>
  <c r="P48" i="152" s="1"/>
  <c r="M48" i="152"/>
  <c r="N48" i="152" s="1"/>
  <c r="L48" i="152"/>
  <c r="J48" i="152"/>
  <c r="H48" i="152"/>
  <c r="O47" i="152"/>
  <c r="C47" i="152" s="1"/>
  <c r="E47" i="152" s="1"/>
  <c r="M47" i="152"/>
  <c r="N47" i="152" s="1"/>
  <c r="L47" i="152"/>
  <c r="J47" i="152"/>
  <c r="H47" i="152"/>
  <c r="O46" i="152"/>
  <c r="C46" i="152" s="1"/>
  <c r="E46" i="152" s="1"/>
  <c r="M46" i="152"/>
  <c r="N46" i="152" s="1"/>
  <c r="L46" i="152"/>
  <c r="J46" i="152"/>
  <c r="H46" i="152"/>
  <c r="O45" i="152"/>
  <c r="C45" i="152" s="1"/>
  <c r="E45" i="152" s="1"/>
  <c r="M45" i="152"/>
  <c r="N45" i="152" s="1"/>
  <c r="L45" i="152"/>
  <c r="J45" i="152"/>
  <c r="H45" i="152"/>
  <c r="O44" i="152"/>
  <c r="C44" i="152" s="1"/>
  <c r="E44" i="152" s="1"/>
  <c r="M44" i="152"/>
  <c r="N44" i="152" s="1"/>
  <c r="L44" i="152"/>
  <c r="J44" i="152"/>
  <c r="H44" i="152"/>
  <c r="O43" i="152"/>
  <c r="C43" i="152" s="1"/>
  <c r="E43" i="152" s="1"/>
  <c r="M43" i="152"/>
  <c r="N43" i="152" s="1"/>
  <c r="L43" i="152"/>
  <c r="J43" i="152"/>
  <c r="H43" i="152"/>
  <c r="O37" i="152"/>
  <c r="C37" i="152" s="1"/>
  <c r="E37" i="152" s="1"/>
  <c r="M37" i="152"/>
  <c r="N37" i="152" s="1"/>
  <c r="L37" i="152"/>
  <c r="J37" i="152"/>
  <c r="H37" i="152"/>
  <c r="O36" i="152"/>
  <c r="C36" i="152" s="1"/>
  <c r="E36" i="152" s="1"/>
  <c r="M36" i="152"/>
  <c r="N36" i="152" s="1"/>
  <c r="L36" i="152"/>
  <c r="J36" i="152"/>
  <c r="H36" i="152"/>
  <c r="O35" i="152"/>
  <c r="C35" i="152" s="1"/>
  <c r="E35" i="152" s="1"/>
  <c r="M35" i="152"/>
  <c r="N35" i="152" s="1"/>
  <c r="L35" i="152"/>
  <c r="J35" i="152"/>
  <c r="H35" i="152"/>
  <c r="O34" i="152"/>
  <c r="C34" i="152" s="1"/>
  <c r="E34" i="152" s="1"/>
  <c r="M34" i="152"/>
  <c r="N34" i="152" s="1"/>
  <c r="L34" i="152"/>
  <c r="J34" i="152"/>
  <c r="H34" i="152"/>
  <c r="O29" i="152"/>
  <c r="P29" i="152" s="1"/>
  <c r="M29" i="152"/>
  <c r="N29" i="152" s="1"/>
  <c r="O28" i="152"/>
  <c r="C28" i="152" s="1"/>
  <c r="E28" i="152" s="1"/>
  <c r="M28" i="152"/>
  <c r="N28" i="152" s="1"/>
  <c r="J28" i="152"/>
  <c r="H28" i="152"/>
  <c r="O27" i="152"/>
  <c r="P27" i="152" s="1"/>
  <c r="M27" i="152"/>
  <c r="N27" i="152" s="1"/>
  <c r="J27" i="152"/>
  <c r="H27" i="152"/>
  <c r="O26" i="152"/>
  <c r="C26" i="152" s="1"/>
  <c r="E26" i="152" s="1"/>
  <c r="M26" i="152"/>
  <c r="N26" i="152" s="1"/>
  <c r="J26" i="152"/>
  <c r="H26" i="152"/>
  <c r="O25" i="152"/>
  <c r="P25" i="152" s="1"/>
  <c r="M25" i="152"/>
  <c r="N25" i="152" s="1"/>
  <c r="J25" i="152"/>
  <c r="H25" i="152"/>
  <c r="P20" i="152"/>
  <c r="O20" i="152"/>
  <c r="M20" i="152"/>
  <c r="N20" i="152" s="1"/>
  <c r="P19" i="152"/>
  <c r="O19" i="152"/>
  <c r="C19" i="152" s="1"/>
  <c r="E19" i="152" s="1"/>
  <c r="M19" i="152"/>
  <c r="N19" i="152" s="1"/>
  <c r="L19" i="152"/>
  <c r="J19" i="152"/>
  <c r="H19" i="152"/>
  <c r="P18" i="152"/>
  <c r="O18" i="152"/>
  <c r="C18" i="152" s="1"/>
  <c r="E18" i="152" s="1"/>
  <c r="M18" i="152"/>
  <c r="N18" i="152" s="1"/>
  <c r="L18" i="152"/>
  <c r="J18" i="152"/>
  <c r="H18" i="152"/>
  <c r="P17" i="152"/>
  <c r="O17" i="152"/>
  <c r="C17" i="152" s="1"/>
  <c r="E17" i="152" s="1"/>
  <c r="M17" i="152"/>
  <c r="N17" i="152" s="1"/>
  <c r="L17" i="152"/>
  <c r="J17" i="152"/>
  <c r="H17" i="152"/>
  <c r="P16" i="152"/>
  <c r="O16" i="152"/>
  <c r="C16" i="152" s="1"/>
  <c r="E16" i="152" s="1"/>
  <c r="M16" i="152"/>
  <c r="N16" i="152" s="1"/>
  <c r="L16" i="152"/>
  <c r="J16" i="152"/>
  <c r="H16" i="152"/>
  <c r="M11" i="152"/>
  <c r="O10" i="152"/>
  <c r="P10" i="152" s="1"/>
  <c r="M10" i="152"/>
  <c r="N10" i="152" s="1"/>
  <c r="L10" i="152"/>
  <c r="J10" i="152"/>
  <c r="H10" i="152"/>
  <c r="O9" i="152"/>
  <c r="P9" i="152" s="1"/>
  <c r="M9" i="152"/>
  <c r="N9" i="152" s="1"/>
  <c r="L9" i="152"/>
  <c r="J9" i="152"/>
  <c r="H9" i="152"/>
  <c r="O8" i="152"/>
  <c r="P8" i="152" s="1"/>
  <c r="M8" i="152"/>
  <c r="N8" i="152" s="1"/>
  <c r="L8" i="152"/>
  <c r="J8" i="152"/>
  <c r="H8" i="152"/>
  <c r="O7" i="152"/>
  <c r="P7" i="152" s="1"/>
  <c r="M7" i="152"/>
  <c r="N7" i="152" s="1"/>
  <c r="L7" i="152"/>
  <c r="J7" i="152"/>
  <c r="H7" i="152"/>
  <c r="O6" i="152"/>
  <c r="P6" i="152" s="1"/>
  <c r="M6" i="152"/>
  <c r="N6" i="152" s="1"/>
  <c r="L6" i="152"/>
  <c r="J6" i="152"/>
  <c r="H6" i="152"/>
  <c r="O5" i="152"/>
  <c r="P5" i="152" s="1"/>
  <c r="M5" i="152"/>
  <c r="N5" i="152" s="1"/>
  <c r="L5" i="152"/>
  <c r="J5" i="152"/>
  <c r="H5" i="152"/>
  <c r="D74" i="153" l="1"/>
  <c r="D34" i="153"/>
  <c r="D35" i="153"/>
  <c r="D123" i="153"/>
  <c r="E29" i="153"/>
  <c r="D105" i="142"/>
  <c r="E105" i="142"/>
  <c r="F23" i="141"/>
  <c r="L24" i="141"/>
  <c r="M24" i="141"/>
  <c r="E20" i="152"/>
  <c r="E21" i="152" s="1"/>
  <c r="E97" i="152"/>
  <c r="F97" i="152" s="1"/>
  <c r="I97" i="152" s="1"/>
  <c r="F98" i="152"/>
  <c r="I98" i="152" s="1"/>
  <c r="E96" i="152"/>
  <c r="E95" i="152"/>
  <c r="F95" i="152" s="1"/>
  <c r="I95" i="152" s="1"/>
  <c r="E94" i="152"/>
  <c r="F94" i="152" s="1"/>
  <c r="I94" i="152" s="1"/>
  <c r="V149" i="152"/>
  <c r="E93" i="152"/>
  <c r="F93" i="152" s="1"/>
  <c r="I93" i="152" s="1"/>
  <c r="E92" i="152"/>
  <c r="F92" i="152" s="1"/>
  <c r="I92" i="152" s="1"/>
  <c r="U114" i="152"/>
  <c r="E114" i="152" s="1"/>
  <c r="F114" i="152" s="1"/>
  <c r="I114" i="152" s="1"/>
  <c r="S114" i="152"/>
  <c r="P37" i="152"/>
  <c r="E71" i="152"/>
  <c r="F71" i="152" s="1"/>
  <c r="E80" i="152"/>
  <c r="F80" i="152" s="1"/>
  <c r="I80" i="152" s="1"/>
  <c r="E79" i="152"/>
  <c r="F79" i="152" s="1"/>
  <c r="I79" i="152" s="1"/>
  <c r="C55" i="152"/>
  <c r="E55" i="152" s="1"/>
  <c r="E76" i="152"/>
  <c r="F76" i="152" s="1"/>
  <c r="I76" i="152" s="1"/>
  <c r="C5" i="152"/>
  <c r="E5" i="152" s="1"/>
  <c r="E75" i="152"/>
  <c r="F75" i="152" s="1"/>
  <c r="I75" i="152" s="1"/>
  <c r="E74" i="152"/>
  <c r="F74" i="152" s="1"/>
  <c r="I74" i="152" s="1"/>
  <c r="I73" i="152"/>
  <c r="I77" i="152"/>
  <c r="P28" i="152"/>
  <c r="P34" i="152"/>
  <c r="V98" i="152"/>
  <c r="V101" i="152"/>
  <c r="V137" i="152"/>
  <c r="P26" i="152"/>
  <c r="V100" i="152"/>
  <c r="V157" i="152"/>
  <c r="V99" i="152"/>
  <c r="C8" i="152"/>
  <c r="E8" i="152" s="1"/>
  <c r="E124" i="152"/>
  <c r="F124" i="152" s="1"/>
  <c r="G124" i="152" s="1"/>
  <c r="I124" i="152" s="1"/>
  <c r="E164" i="152"/>
  <c r="F164" i="152" s="1"/>
  <c r="G164" i="152" s="1"/>
  <c r="I164" i="152" s="1"/>
  <c r="E141" i="152"/>
  <c r="F141" i="152" s="1"/>
  <c r="G141" i="152" s="1"/>
  <c r="I141" i="152" s="1"/>
  <c r="E123" i="152"/>
  <c r="F123" i="152" s="1"/>
  <c r="G123" i="152" s="1"/>
  <c r="I123" i="152" s="1"/>
  <c r="E163" i="152"/>
  <c r="F163" i="152" s="1"/>
  <c r="G163" i="152" s="1"/>
  <c r="I163" i="152" s="1"/>
  <c r="E156" i="152"/>
  <c r="F156" i="152" s="1"/>
  <c r="G156" i="152" s="1"/>
  <c r="I156" i="152" s="1"/>
  <c r="E148" i="152"/>
  <c r="F148" i="152" s="1"/>
  <c r="G148" i="152" s="1"/>
  <c r="I148" i="152" s="1"/>
  <c r="E140" i="152"/>
  <c r="F140" i="152" s="1"/>
  <c r="G140" i="152" s="1"/>
  <c r="I140" i="152" s="1"/>
  <c r="E107" i="152"/>
  <c r="F107" i="152" s="1"/>
  <c r="E135" i="152"/>
  <c r="F135" i="152" s="1"/>
  <c r="G135" i="152" s="1"/>
  <c r="I135" i="152" s="1"/>
  <c r="E162" i="152"/>
  <c r="F162" i="152" s="1"/>
  <c r="G162" i="152" s="1"/>
  <c r="I162" i="152" s="1"/>
  <c r="E155" i="152"/>
  <c r="F155" i="152" s="1"/>
  <c r="G155" i="152" s="1"/>
  <c r="I155" i="152" s="1"/>
  <c r="E147" i="152"/>
  <c r="F147" i="152" s="1"/>
  <c r="G147" i="152" s="1"/>
  <c r="I147" i="152" s="1"/>
  <c r="E139" i="152"/>
  <c r="F139" i="152" s="1"/>
  <c r="G139" i="152" s="1"/>
  <c r="I139" i="152" s="1"/>
  <c r="C49" i="152"/>
  <c r="E49" i="152" s="1"/>
  <c r="E50" i="152" s="1"/>
  <c r="E51" i="152" s="1"/>
  <c r="E122" i="152"/>
  <c r="F122" i="152" s="1"/>
  <c r="G122" i="152" s="1"/>
  <c r="I122" i="152" s="1"/>
  <c r="E161" i="152"/>
  <c r="F161" i="152" s="1"/>
  <c r="G161" i="152" s="1"/>
  <c r="I161" i="152" s="1"/>
  <c r="E146" i="152"/>
  <c r="F146" i="152" s="1"/>
  <c r="G146" i="152" s="1"/>
  <c r="I146" i="152" s="1"/>
  <c r="E138" i="152"/>
  <c r="F138" i="152" s="1"/>
  <c r="G138" i="152" s="1"/>
  <c r="I138" i="152" s="1"/>
  <c r="C61" i="152"/>
  <c r="E61" i="152" s="1"/>
  <c r="E128" i="152"/>
  <c r="F128" i="152" s="1"/>
  <c r="G128" i="152" s="1"/>
  <c r="I128" i="152" s="1"/>
  <c r="E168" i="152"/>
  <c r="F168" i="152" s="1"/>
  <c r="G168" i="152" s="1"/>
  <c r="I168" i="152" s="1"/>
  <c r="E160" i="152"/>
  <c r="F160" i="152" s="1"/>
  <c r="G160" i="152" s="1"/>
  <c r="I160" i="152" s="1"/>
  <c r="E153" i="152"/>
  <c r="F153" i="152" s="1"/>
  <c r="G153" i="152" s="1"/>
  <c r="I153" i="152" s="1"/>
  <c r="E145" i="152"/>
  <c r="F145" i="152" s="1"/>
  <c r="G145" i="152" s="1"/>
  <c r="I145" i="152" s="1"/>
  <c r="V73" i="152"/>
  <c r="F96" i="152"/>
  <c r="I96" i="152" s="1"/>
  <c r="E127" i="152"/>
  <c r="F127" i="152" s="1"/>
  <c r="G127" i="152" s="1"/>
  <c r="I127" i="152" s="1"/>
  <c r="E167" i="152"/>
  <c r="F167" i="152" s="1"/>
  <c r="G167" i="152" s="1"/>
  <c r="I167" i="152" s="1"/>
  <c r="E159" i="152"/>
  <c r="F159" i="152" s="1"/>
  <c r="G159" i="152" s="1"/>
  <c r="I159" i="152" s="1"/>
  <c r="E152" i="152"/>
  <c r="F152" i="152" s="1"/>
  <c r="G152" i="152" s="1"/>
  <c r="I152" i="152" s="1"/>
  <c r="E144" i="152"/>
  <c r="F144" i="152" s="1"/>
  <c r="G144" i="152" s="1"/>
  <c r="I144" i="152" s="1"/>
  <c r="E136" i="152"/>
  <c r="F136" i="152" s="1"/>
  <c r="G136" i="152" s="1"/>
  <c r="I136" i="152" s="1"/>
  <c r="E126" i="152"/>
  <c r="F126" i="152" s="1"/>
  <c r="G126" i="152" s="1"/>
  <c r="I126" i="152" s="1"/>
  <c r="E166" i="152"/>
  <c r="F166" i="152" s="1"/>
  <c r="E158" i="152"/>
  <c r="F158" i="152" s="1"/>
  <c r="G158" i="152" s="1"/>
  <c r="I158" i="152" s="1"/>
  <c r="E151" i="152"/>
  <c r="F151" i="152" s="1"/>
  <c r="G151" i="152" s="1"/>
  <c r="I151" i="152" s="1"/>
  <c r="E143" i="152"/>
  <c r="F143" i="152" s="1"/>
  <c r="G143" i="152" s="1"/>
  <c r="I143" i="152" s="1"/>
  <c r="P35" i="152"/>
  <c r="E91" i="152"/>
  <c r="F91" i="152" s="1"/>
  <c r="I91" i="152" s="1"/>
  <c r="E125" i="152"/>
  <c r="F125" i="152" s="1"/>
  <c r="E165" i="152"/>
  <c r="F165" i="152" s="1"/>
  <c r="G165" i="152" s="1"/>
  <c r="I165" i="152" s="1"/>
  <c r="E150" i="152"/>
  <c r="F150" i="152" s="1"/>
  <c r="G150" i="152" s="1"/>
  <c r="I150" i="152" s="1"/>
  <c r="E142" i="152"/>
  <c r="F142" i="152" s="1"/>
  <c r="G142" i="152" s="1"/>
  <c r="I142" i="152" s="1"/>
  <c r="P43" i="152"/>
  <c r="P44" i="152"/>
  <c r="P45" i="152"/>
  <c r="P46" i="152"/>
  <c r="P47" i="152"/>
  <c r="V77" i="152"/>
  <c r="C7" i="152"/>
  <c r="E7" i="152" s="1"/>
  <c r="C27" i="152"/>
  <c r="E27" i="152" s="1"/>
  <c r="C48" i="152"/>
  <c r="C60" i="152"/>
  <c r="E60" i="152" s="1"/>
  <c r="P36" i="152"/>
  <c r="V75" i="152"/>
  <c r="C58" i="152"/>
  <c r="E58" i="152" s="1"/>
  <c r="C57" i="152"/>
  <c r="E57" i="152" s="1"/>
  <c r="C59" i="152"/>
  <c r="E59" i="152" s="1"/>
  <c r="C56" i="152"/>
  <c r="E56" i="152" s="1"/>
  <c r="C6" i="152"/>
  <c r="E6" i="152" s="1"/>
  <c r="C10" i="152"/>
  <c r="E10" i="152" s="1"/>
  <c r="C9" i="152"/>
  <c r="E9" i="152" s="1"/>
  <c r="C25" i="152"/>
  <c r="E25" i="152" s="1"/>
  <c r="C62" i="152"/>
  <c r="E62" i="152" s="1"/>
  <c r="E72" i="152"/>
  <c r="E38" i="152"/>
  <c r="E39" i="152" s="1"/>
  <c r="D103" i="119" s="1"/>
  <c r="E123" i="153" l="1"/>
  <c r="D36" i="153"/>
  <c r="E35" i="153"/>
  <c r="D73" i="153"/>
  <c r="D76" i="153"/>
  <c r="E74" i="153"/>
  <c r="E34" i="153"/>
  <c r="F24" i="141"/>
  <c r="I71" i="152"/>
  <c r="F129" i="152"/>
  <c r="G125" i="152"/>
  <c r="I125" i="152" s="1"/>
  <c r="I129" i="152" s="1"/>
  <c r="I130" i="152" s="1"/>
  <c r="G166" i="152"/>
  <c r="I166" i="152" s="1"/>
  <c r="I116" i="152"/>
  <c r="I117" i="152" s="1"/>
  <c r="F116" i="152"/>
  <c r="F108" i="152"/>
  <c r="I107" i="152"/>
  <c r="I108" i="152" s="1"/>
  <c r="I109" i="152" s="1"/>
  <c r="M104" i="128" s="1"/>
  <c r="I102" i="152"/>
  <c r="I103" i="152" s="1"/>
  <c r="N104" i="128" s="1"/>
  <c r="E63" i="152"/>
  <c r="E64" i="152" s="1"/>
  <c r="D104" i="142"/>
  <c r="E104" i="142"/>
  <c r="G102" i="128"/>
  <c r="D103" i="148"/>
  <c r="D103" i="147"/>
  <c r="F72" i="152"/>
  <c r="F86" i="152" s="1"/>
  <c r="E11" i="152"/>
  <c r="F102" i="152"/>
  <c r="E29" i="152"/>
  <c r="E30" i="152" s="1"/>
  <c r="N102" i="128" s="1"/>
  <c r="F51" i="117"/>
  <c r="F52" i="117"/>
  <c r="F53" i="117"/>
  <c r="F50" i="117"/>
  <c r="F43" i="117"/>
  <c r="F44" i="117"/>
  <c r="F45" i="117"/>
  <c r="F46" i="117"/>
  <c r="F42" i="117"/>
  <c r="F40" i="117"/>
  <c r="F36" i="117"/>
  <c r="F34" i="117"/>
  <c r="F33" i="117"/>
  <c r="F38" i="117"/>
  <c r="F39" i="117"/>
  <c r="F29" i="117"/>
  <c r="F30" i="117"/>
  <c r="F31" i="117"/>
  <c r="F37" i="117"/>
  <c r="F27" i="117"/>
  <c r="F21" i="117"/>
  <c r="F22" i="117"/>
  <c r="F23" i="117"/>
  <c r="F24" i="117"/>
  <c r="F20" i="117"/>
  <c r="F15" i="117"/>
  <c r="F16" i="117"/>
  <c r="F17" i="117"/>
  <c r="F18" i="117"/>
  <c r="F14" i="117"/>
  <c r="F12" i="117"/>
  <c r="F6" i="117"/>
  <c r="F7" i="117"/>
  <c r="F8" i="117"/>
  <c r="F9" i="117"/>
  <c r="F10" i="117"/>
  <c r="F11" i="117"/>
  <c r="F5" i="117"/>
  <c r="E23" i="145"/>
  <c r="E22" i="145"/>
  <c r="E21" i="145"/>
  <c r="E17" i="145"/>
  <c r="E15" i="145"/>
  <c r="E14" i="145"/>
  <c r="E13" i="145"/>
  <c r="E10" i="145"/>
  <c r="E9" i="145"/>
  <c r="E8" i="145"/>
  <c r="E5" i="145"/>
  <c r="M11" i="145"/>
  <c r="F11" i="145" s="1"/>
  <c r="M19" i="145"/>
  <c r="F19" i="145" s="1"/>
  <c r="F23" i="145"/>
  <c r="E36" i="153" l="1"/>
  <c r="E76" i="153"/>
  <c r="E73" i="153"/>
  <c r="I169" i="152"/>
  <c r="I170" i="152" s="1"/>
  <c r="E106" i="142"/>
  <c r="D106" i="142"/>
  <c r="E104" i="128"/>
  <c r="F104" i="128"/>
  <c r="D103" i="138"/>
  <c r="I72" i="152"/>
  <c r="I86" i="152" s="1"/>
  <c r="I102" i="128"/>
  <c r="H102" i="128"/>
  <c r="F102" i="128"/>
  <c r="M102" i="128"/>
  <c r="L102" i="128"/>
  <c r="E102" i="128"/>
  <c r="K102" i="128"/>
  <c r="J102" i="128"/>
  <c r="E104" i="149"/>
  <c r="D104" i="149"/>
  <c r="H22" i="128"/>
  <c r="J22" i="128"/>
  <c r="I22" i="128"/>
  <c r="N22" i="128"/>
  <c r="M22" i="128"/>
  <c r="K22" i="128"/>
  <c r="L22" i="128"/>
  <c r="D23" i="147"/>
  <c r="E22" i="128"/>
  <c r="F22" i="128"/>
  <c r="G22" i="128"/>
  <c r="B26" i="121"/>
  <c r="G29" i="121"/>
  <c r="G41" i="121"/>
  <c r="G42" i="121"/>
  <c r="H52" i="121" s="1"/>
  <c r="G43" i="121"/>
  <c r="H53" i="121" s="1"/>
  <c r="G44" i="121"/>
  <c r="H54" i="121" s="1"/>
  <c r="G45" i="121"/>
  <c r="H55" i="121" s="1"/>
  <c r="G40" i="121"/>
  <c r="A41" i="121"/>
  <c r="A42" i="121"/>
  <c r="A43" i="121"/>
  <c r="A44" i="121"/>
  <c r="A45" i="121"/>
  <c r="A40" i="121"/>
  <c r="B41" i="121"/>
  <c r="B51" i="121" s="1"/>
  <c r="B42" i="121"/>
  <c r="B52" i="121" s="1"/>
  <c r="B43" i="121"/>
  <c r="B53" i="121" s="1"/>
  <c r="B44" i="121"/>
  <c r="B54" i="121" s="1"/>
  <c r="B45" i="121"/>
  <c r="B55" i="121" s="1"/>
  <c r="B40" i="121"/>
  <c r="B50" i="121" s="1"/>
  <c r="E6" i="117"/>
  <c r="E7" i="117"/>
  <c r="E8" i="117"/>
  <c r="E9" i="117"/>
  <c r="E10" i="117"/>
  <c r="E11" i="117"/>
  <c r="E12" i="117"/>
  <c r="E13" i="117"/>
  <c r="E14" i="117"/>
  <c r="E15" i="117"/>
  <c r="E16" i="117"/>
  <c r="E17" i="117"/>
  <c r="E18" i="117"/>
  <c r="E19" i="117"/>
  <c r="E20" i="117"/>
  <c r="E21" i="117"/>
  <c r="E22" i="117"/>
  <c r="E23" i="117"/>
  <c r="E24" i="117"/>
  <c r="E25" i="117"/>
  <c r="E26" i="117"/>
  <c r="E27" i="117"/>
  <c r="E28" i="117"/>
  <c r="E37" i="117"/>
  <c r="E29" i="117"/>
  <c r="E30" i="117"/>
  <c r="E31" i="117"/>
  <c r="E32" i="117"/>
  <c r="E33" i="117"/>
  <c r="E34" i="117"/>
  <c r="E35" i="117"/>
  <c r="E36" i="117"/>
  <c r="E38" i="117"/>
  <c r="E39" i="117"/>
  <c r="E40" i="117"/>
  <c r="E41" i="117"/>
  <c r="E42" i="117"/>
  <c r="E43" i="117"/>
  <c r="E46" i="117"/>
  <c r="E44" i="117"/>
  <c r="E45" i="117"/>
  <c r="E50" i="117"/>
  <c r="E51" i="117"/>
  <c r="E52" i="117"/>
  <c r="E53" i="117"/>
  <c r="E6" i="144"/>
  <c r="E5" i="144"/>
  <c r="E16" i="139"/>
  <c r="E17" i="139"/>
  <c r="E18" i="139"/>
  <c r="E20" i="139"/>
  <c r="E21" i="139"/>
  <c r="E22" i="139"/>
  <c r="E23" i="139"/>
  <c r="E5" i="139"/>
  <c r="E5" i="117"/>
  <c r="C58" i="149"/>
  <c r="C57" i="149"/>
  <c r="C56" i="149"/>
  <c r="C55" i="149"/>
  <c r="J25" i="128" l="1"/>
  <c r="J27" i="128" s="1"/>
  <c r="I87" i="152"/>
  <c r="D105" i="119" s="1"/>
  <c r="E106" i="149"/>
  <c r="D106" i="149"/>
  <c r="H50" i="121"/>
  <c r="B20" i="121"/>
  <c r="E121" i="149" l="1"/>
  <c r="D121" i="149"/>
  <c r="C117" i="149"/>
  <c r="C116" i="149"/>
  <c r="C115" i="149"/>
  <c r="E108" i="149"/>
  <c r="E127" i="149" s="1"/>
  <c r="D108" i="149"/>
  <c r="D127" i="149" s="1"/>
  <c r="E94" i="149"/>
  <c r="D94" i="149"/>
  <c r="C94" i="149"/>
  <c r="C74" i="149"/>
  <c r="D59" i="149"/>
  <c r="E59" i="149" s="1"/>
  <c r="E58" i="149"/>
  <c r="E57" i="149"/>
  <c r="D57" i="149"/>
  <c r="E56" i="149"/>
  <c r="D56" i="149"/>
  <c r="E55" i="149"/>
  <c r="C36" i="149"/>
  <c r="D25" i="149"/>
  <c r="E25" i="149" s="1"/>
  <c r="E23" i="149"/>
  <c r="E121" i="142"/>
  <c r="D121" i="142"/>
  <c r="C36" i="30"/>
  <c r="C55" i="142" s="1"/>
  <c r="C59" i="142"/>
  <c r="D59" i="142" s="1"/>
  <c r="E59" i="142" s="1"/>
  <c r="C58" i="142"/>
  <c r="E58" i="142" s="1"/>
  <c r="C57" i="142"/>
  <c r="E57" i="142" s="1"/>
  <c r="C56" i="142"/>
  <c r="D56" i="142" s="1"/>
  <c r="E24" i="142"/>
  <c r="D24" i="142"/>
  <c r="E23" i="142"/>
  <c r="D23" i="142"/>
  <c r="C117" i="142"/>
  <c r="C116" i="142"/>
  <c r="C115" i="142"/>
  <c r="E108" i="142"/>
  <c r="E127" i="142" s="1"/>
  <c r="D108" i="142"/>
  <c r="D127" i="142" s="1"/>
  <c r="E94" i="142"/>
  <c r="D94" i="142"/>
  <c r="C94" i="142"/>
  <c r="C74" i="142"/>
  <c r="C36" i="142"/>
  <c r="D25" i="142"/>
  <c r="E25" i="142" s="1"/>
  <c r="C116" i="148"/>
  <c r="C115" i="148"/>
  <c r="C114" i="148"/>
  <c r="D107" i="148"/>
  <c r="D125" i="148" s="1"/>
  <c r="D93" i="148"/>
  <c r="C93" i="148"/>
  <c r="C73" i="148"/>
  <c r="D58" i="148"/>
  <c r="C57" i="148"/>
  <c r="D57" i="148" s="1"/>
  <c r="C56" i="148"/>
  <c r="D56" i="148" s="1"/>
  <c r="C55" i="148"/>
  <c r="D55" i="148" s="1"/>
  <c r="C54" i="148"/>
  <c r="D54" i="148" s="1"/>
  <c r="C53" i="148"/>
  <c r="C35" i="148"/>
  <c r="D25" i="148"/>
  <c r="D24" i="148"/>
  <c r="D23" i="148"/>
  <c r="C116" i="147"/>
  <c r="C115" i="147"/>
  <c r="C114" i="147"/>
  <c r="D107" i="147"/>
  <c r="D125" i="147" s="1"/>
  <c r="D93" i="147"/>
  <c r="C93" i="147"/>
  <c r="C73" i="147"/>
  <c r="D58" i="147"/>
  <c r="C57" i="147"/>
  <c r="D57" i="147" s="1"/>
  <c r="C56" i="147"/>
  <c r="D56" i="147" s="1"/>
  <c r="C55" i="147"/>
  <c r="D55" i="147" s="1"/>
  <c r="C54" i="147"/>
  <c r="D54" i="147" s="1"/>
  <c r="C53" i="147"/>
  <c r="C35" i="147"/>
  <c r="D25" i="147"/>
  <c r="D24" i="147"/>
  <c r="D26" i="148" l="1"/>
  <c r="C113" i="147"/>
  <c r="E56" i="142"/>
  <c r="D58" i="142"/>
  <c r="E26" i="142"/>
  <c r="D57" i="142"/>
  <c r="E27" i="142"/>
  <c r="D138" i="149"/>
  <c r="D139" i="149" s="1"/>
  <c r="D136" i="149"/>
  <c r="D53" i="147"/>
  <c r="D59" i="147" s="1"/>
  <c r="D65" i="147" s="1"/>
  <c r="C113" i="148"/>
  <c r="C114" i="149"/>
  <c r="D55" i="149"/>
  <c r="E27" i="149"/>
  <c r="D58" i="149"/>
  <c r="E55" i="142"/>
  <c r="D55" i="142"/>
  <c r="D29" i="142"/>
  <c r="C114" i="142"/>
  <c r="D28" i="148"/>
  <c r="D53" i="148"/>
  <c r="D59" i="148" s="1"/>
  <c r="D65" i="148" s="1"/>
  <c r="D26" i="147"/>
  <c r="D28" i="147" s="1"/>
  <c r="C53" i="138"/>
  <c r="C116" i="138"/>
  <c r="C115" i="138"/>
  <c r="C114" i="138"/>
  <c r="D107" i="138"/>
  <c r="D125" i="138" s="1"/>
  <c r="D93" i="138"/>
  <c r="C93" i="138"/>
  <c r="C73" i="138"/>
  <c r="D58" i="138"/>
  <c r="C57" i="138"/>
  <c r="D57" i="138" s="1"/>
  <c r="C56" i="138"/>
  <c r="D56" i="138" s="1"/>
  <c r="C55" i="138"/>
  <c r="D55" i="138" s="1"/>
  <c r="C54" i="138"/>
  <c r="D54" i="138" s="1"/>
  <c r="C35" i="138"/>
  <c r="D25" i="138"/>
  <c r="D24" i="138"/>
  <c r="J12" i="128"/>
  <c r="J53" i="128" s="1"/>
  <c r="K12" i="128"/>
  <c r="K53" i="128" s="1"/>
  <c r="I12" i="128"/>
  <c r="I53" i="128" s="1"/>
  <c r="C32" i="30"/>
  <c r="K52" i="128" s="1"/>
  <c r="D60" i="30"/>
  <c r="N106" i="128"/>
  <c r="N125" i="128" s="1"/>
  <c r="N92" i="128"/>
  <c r="N56" i="128"/>
  <c r="N55" i="128"/>
  <c r="N54" i="128"/>
  <c r="M106" i="128"/>
  <c r="M125" i="128" s="1"/>
  <c r="M92" i="128"/>
  <c r="M56" i="128"/>
  <c r="M55" i="128"/>
  <c r="M54" i="128"/>
  <c r="L106" i="128"/>
  <c r="L125" i="128" s="1"/>
  <c r="L92" i="128"/>
  <c r="L56" i="128"/>
  <c r="L55" i="128"/>
  <c r="L54" i="128"/>
  <c r="K106" i="128"/>
  <c r="K125" i="128" s="1"/>
  <c r="K92" i="128"/>
  <c r="K56" i="128"/>
  <c r="K55" i="128"/>
  <c r="K54" i="128"/>
  <c r="J106" i="128"/>
  <c r="J125" i="128" s="1"/>
  <c r="J92" i="128"/>
  <c r="J56" i="128"/>
  <c r="J55" i="128"/>
  <c r="J54" i="128"/>
  <c r="I106" i="128"/>
  <c r="I125" i="128" s="1"/>
  <c r="I92" i="128"/>
  <c r="I56" i="128"/>
  <c r="I55" i="128"/>
  <c r="I54" i="128"/>
  <c r="H106" i="128"/>
  <c r="H125" i="128" s="1"/>
  <c r="H92" i="128"/>
  <c r="H56" i="128"/>
  <c r="H55" i="128"/>
  <c r="H54" i="128"/>
  <c r="G106" i="128"/>
  <c r="G125" i="128" s="1"/>
  <c r="G92" i="128"/>
  <c r="G56" i="128"/>
  <c r="G55" i="128"/>
  <c r="G54" i="128"/>
  <c r="F106" i="128"/>
  <c r="F125" i="128" s="1"/>
  <c r="F92" i="128"/>
  <c r="F56" i="128"/>
  <c r="F55" i="128"/>
  <c r="F54" i="128"/>
  <c r="E56" i="128"/>
  <c r="E55" i="128"/>
  <c r="E54" i="128"/>
  <c r="D56" i="128"/>
  <c r="D55" i="128"/>
  <c r="D54" i="128"/>
  <c r="E106" i="128"/>
  <c r="E125" i="128" s="1"/>
  <c r="E92" i="128"/>
  <c r="C115" i="128"/>
  <c r="C114" i="128"/>
  <c r="C113" i="128"/>
  <c r="D106" i="128"/>
  <c r="D125" i="128" s="1"/>
  <c r="D92" i="128"/>
  <c r="C92" i="128"/>
  <c r="C72" i="128"/>
  <c r="D57" i="128"/>
  <c r="E57" i="128" s="1"/>
  <c r="F57" i="128" s="1"/>
  <c r="G57" i="128" s="1"/>
  <c r="H57" i="128" s="1"/>
  <c r="I57" i="128" s="1"/>
  <c r="J57" i="128" s="1"/>
  <c r="K57" i="128" s="1"/>
  <c r="L57" i="128" s="1"/>
  <c r="M57" i="128" s="1"/>
  <c r="N57" i="128" s="1"/>
  <c r="C34" i="128"/>
  <c r="D58" i="119"/>
  <c r="C57" i="119"/>
  <c r="C56" i="119"/>
  <c r="C55" i="119"/>
  <c r="D55" i="119" s="1"/>
  <c r="C54" i="119"/>
  <c r="D36" i="145"/>
  <c r="D35" i="145"/>
  <c r="D34" i="145"/>
  <c r="D81" i="30"/>
  <c r="C84" i="154" s="1"/>
  <c r="D80" i="30"/>
  <c r="C83" i="154" s="1"/>
  <c r="D79" i="30"/>
  <c r="C82" i="154" s="1"/>
  <c r="D78" i="30"/>
  <c r="D82" i="154" l="1"/>
  <c r="E82" i="154"/>
  <c r="C83" i="153"/>
  <c r="D83" i="153" s="1"/>
  <c r="C81" i="154"/>
  <c r="E12" i="154"/>
  <c r="E53" i="154" s="1"/>
  <c r="D12" i="154"/>
  <c r="D53" i="154" s="1"/>
  <c r="D84" i="154"/>
  <c r="E84" i="154"/>
  <c r="D83" i="154"/>
  <c r="E83" i="154"/>
  <c r="C85" i="138"/>
  <c r="C86" i="153"/>
  <c r="C84" i="138"/>
  <c r="C85" i="153"/>
  <c r="F12" i="128"/>
  <c r="F53" i="128" s="1"/>
  <c r="D12" i="153"/>
  <c r="D55" i="153" s="1"/>
  <c r="E83" i="153"/>
  <c r="C82" i="138"/>
  <c r="C83" i="138"/>
  <c r="C84" i="153"/>
  <c r="I52" i="128"/>
  <c r="I58" i="128" s="1"/>
  <c r="I64" i="128" s="1"/>
  <c r="J52" i="128"/>
  <c r="J58" i="128" s="1"/>
  <c r="J64" i="128" s="1"/>
  <c r="E29" i="142"/>
  <c r="D141" i="149"/>
  <c r="D137" i="149"/>
  <c r="D142" i="149" s="1"/>
  <c r="C30" i="30"/>
  <c r="C52" i="154" s="1"/>
  <c r="C83" i="119"/>
  <c r="C83" i="147"/>
  <c r="D83" i="147" s="1"/>
  <c r="C84" i="142"/>
  <c r="D84" i="142" s="1"/>
  <c r="C84" i="149"/>
  <c r="D84" i="149" s="1"/>
  <c r="C83" i="148"/>
  <c r="D83" i="148" s="1"/>
  <c r="C54" i="142"/>
  <c r="C54" i="149"/>
  <c r="E12" i="128"/>
  <c r="E53" i="128" s="1"/>
  <c r="D12" i="128"/>
  <c r="D53" i="128" s="1"/>
  <c r="L12" i="128"/>
  <c r="L53" i="128" s="1"/>
  <c r="C84" i="119"/>
  <c r="C84" i="147"/>
  <c r="D84" i="147" s="1"/>
  <c r="C85" i="142"/>
  <c r="D85" i="142" s="1"/>
  <c r="C85" i="149"/>
  <c r="C84" i="148"/>
  <c r="D84" i="148" s="1"/>
  <c r="C85" i="119"/>
  <c r="C85" i="147"/>
  <c r="D85" i="147" s="1"/>
  <c r="C86" i="142"/>
  <c r="E86" i="142" s="1"/>
  <c r="C86" i="149"/>
  <c r="D86" i="149" s="1"/>
  <c r="C85" i="148"/>
  <c r="D85" i="148" s="1"/>
  <c r="H12" i="128"/>
  <c r="H53" i="128" s="1"/>
  <c r="M12" i="128"/>
  <c r="M53" i="128" s="1"/>
  <c r="G12" i="128"/>
  <c r="G53" i="128" s="1"/>
  <c r="N12" i="128"/>
  <c r="N53" i="128" s="1"/>
  <c r="D12" i="119"/>
  <c r="D54" i="119" s="1"/>
  <c r="C82" i="119"/>
  <c r="C82" i="147"/>
  <c r="D82" i="147" s="1"/>
  <c r="C82" i="148"/>
  <c r="D82" i="148" s="1"/>
  <c r="C83" i="142"/>
  <c r="D83" i="142" s="1"/>
  <c r="C83" i="149"/>
  <c r="D83" i="149" s="1"/>
  <c r="C82" i="128"/>
  <c r="C113" i="138"/>
  <c r="D123" i="149"/>
  <c r="D74" i="149"/>
  <c r="D35" i="142"/>
  <c r="D74" i="142"/>
  <c r="D123" i="142"/>
  <c r="D34" i="142"/>
  <c r="D34" i="148"/>
  <c r="D33" i="148"/>
  <c r="D73" i="148"/>
  <c r="D121" i="148"/>
  <c r="D121" i="147"/>
  <c r="D34" i="147"/>
  <c r="D73" i="147"/>
  <c r="D33" i="147"/>
  <c r="D53" i="138"/>
  <c r="D26" i="138"/>
  <c r="D28" i="138" s="1"/>
  <c r="C84" i="128"/>
  <c r="C83" i="128"/>
  <c r="C81" i="128"/>
  <c r="K58" i="128"/>
  <c r="K64" i="128" s="1"/>
  <c r="D33" i="145"/>
  <c r="D38" i="145" s="1"/>
  <c r="G4" i="145" s="1"/>
  <c r="C73" i="119"/>
  <c r="D67" i="30"/>
  <c r="D19" i="30"/>
  <c r="D25" i="119"/>
  <c r="D25" i="144"/>
  <c r="D24" i="144"/>
  <c r="D23" i="144"/>
  <c r="E19" i="141"/>
  <c r="E10" i="141"/>
  <c r="E11" i="141"/>
  <c r="E12" i="141"/>
  <c r="E13" i="141"/>
  <c r="E14" i="141"/>
  <c r="E15" i="141"/>
  <c r="E16" i="141"/>
  <c r="E17" i="141"/>
  <c r="E9" i="141"/>
  <c r="D43" i="141"/>
  <c r="D42" i="141"/>
  <c r="D41" i="141"/>
  <c r="C116" i="119"/>
  <c r="C115" i="119"/>
  <c r="C114" i="119"/>
  <c r="D93" i="119"/>
  <c r="C93" i="119"/>
  <c r="D57" i="119"/>
  <c r="D56" i="119"/>
  <c r="C35" i="119"/>
  <c r="D24" i="119"/>
  <c r="E34" i="149" l="1"/>
  <c r="E35" i="149"/>
  <c r="E76" i="149" s="1"/>
  <c r="C71" i="153"/>
  <c r="E71" i="153" s="1"/>
  <c r="C69" i="154"/>
  <c r="D69" i="154" s="1"/>
  <c r="D81" i="154"/>
  <c r="E81" i="154"/>
  <c r="C44" i="153"/>
  <c r="D44" i="153" s="1"/>
  <c r="C42" i="154"/>
  <c r="D52" i="154"/>
  <c r="E52" i="154"/>
  <c r="D85" i="153"/>
  <c r="E85" i="153"/>
  <c r="D84" i="153"/>
  <c r="E84" i="153"/>
  <c r="C52" i="128"/>
  <c r="E52" i="128" s="1"/>
  <c r="E58" i="128" s="1"/>
  <c r="E64" i="128" s="1"/>
  <c r="C54" i="153"/>
  <c r="D86" i="153"/>
  <c r="E86" i="153"/>
  <c r="D71" i="153"/>
  <c r="F22" i="140"/>
  <c r="D27" i="128"/>
  <c r="D75" i="148"/>
  <c r="C53" i="119"/>
  <c r="D53" i="119" s="1"/>
  <c r="D59" i="119" s="1"/>
  <c r="D86" i="142"/>
  <c r="E123" i="149"/>
  <c r="E85" i="149"/>
  <c r="E86" i="149"/>
  <c r="E83" i="149"/>
  <c r="E84" i="149"/>
  <c r="E54" i="149"/>
  <c r="E60" i="149" s="1"/>
  <c r="E66" i="149" s="1"/>
  <c r="D54" i="149"/>
  <c r="D60" i="149" s="1"/>
  <c r="D66" i="149" s="1"/>
  <c r="D54" i="142"/>
  <c r="D60" i="142" s="1"/>
  <c r="D66" i="142" s="1"/>
  <c r="E54" i="142"/>
  <c r="E60" i="142" s="1"/>
  <c r="E66" i="142" s="1"/>
  <c r="C70" i="147"/>
  <c r="C71" i="142"/>
  <c r="C71" i="149"/>
  <c r="C70" i="148"/>
  <c r="C70" i="138"/>
  <c r="D70" i="138" s="1"/>
  <c r="D85" i="149"/>
  <c r="E74" i="149"/>
  <c r="D143" i="149"/>
  <c r="F21" i="140" s="1"/>
  <c r="H21" i="140" s="1"/>
  <c r="F36" i="140"/>
  <c r="H36" i="140" s="1"/>
  <c r="C44" i="149"/>
  <c r="C44" i="142"/>
  <c r="D44" i="142" s="1"/>
  <c r="C43" i="148"/>
  <c r="D43" i="148" s="1"/>
  <c r="C43" i="147"/>
  <c r="D43" i="147" s="1"/>
  <c r="C43" i="138"/>
  <c r="D43" i="138" s="1"/>
  <c r="D35" i="147"/>
  <c r="D35" i="148"/>
  <c r="D76" i="149"/>
  <c r="D73" i="149"/>
  <c r="D36" i="149"/>
  <c r="D73" i="142"/>
  <c r="E35" i="142"/>
  <c r="E84" i="142"/>
  <c r="E83" i="142"/>
  <c r="E74" i="142"/>
  <c r="E85" i="142"/>
  <c r="E34" i="142"/>
  <c r="E123" i="142"/>
  <c r="D76" i="142"/>
  <c r="D36" i="142"/>
  <c r="D72" i="148"/>
  <c r="D72" i="147"/>
  <c r="D75" i="147"/>
  <c r="D59" i="138"/>
  <c r="D65" i="138" s="1"/>
  <c r="D83" i="138"/>
  <c r="D84" i="138"/>
  <c r="D82" i="138"/>
  <c r="D34" i="138"/>
  <c r="D73" i="138"/>
  <c r="D33" i="138"/>
  <c r="D85" i="138"/>
  <c r="D121" i="138"/>
  <c r="C70" i="119"/>
  <c r="C69" i="128"/>
  <c r="C43" i="119"/>
  <c r="C42" i="128"/>
  <c r="D37" i="145"/>
  <c r="D22" i="144"/>
  <c r="D27" i="144" s="1"/>
  <c r="G4" i="144" s="1"/>
  <c r="C113" i="119"/>
  <c r="D40" i="141"/>
  <c r="D72" i="128" l="1"/>
  <c r="D58" i="154"/>
  <c r="D64" i="154" s="1"/>
  <c r="E58" i="154"/>
  <c r="E64" i="154" s="1"/>
  <c r="G22" i="140"/>
  <c r="H22" i="140" s="1"/>
  <c r="E36" i="149"/>
  <c r="E44" i="153"/>
  <c r="E69" i="154"/>
  <c r="E42" i="154"/>
  <c r="D42" i="154"/>
  <c r="G52" i="128"/>
  <c r="G58" i="128" s="1"/>
  <c r="G64" i="128" s="1"/>
  <c r="L52" i="128"/>
  <c r="L58" i="128" s="1"/>
  <c r="L64" i="128" s="1"/>
  <c r="N52" i="128"/>
  <c r="N58" i="128" s="1"/>
  <c r="N64" i="128" s="1"/>
  <c r="M52" i="128"/>
  <c r="M58" i="128" s="1"/>
  <c r="M64" i="128" s="1"/>
  <c r="F52" i="128"/>
  <c r="F58" i="128" s="1"/>
  <c r="F64" i="128" s="1"/>
  <c r="H52" i="128"/>
  <c r="H58" i="128" s="1"/>
  <c r="H64" i="128" s="1"/>
  <c r="D52" i="128"/>
  <c r="D58" i="128" s="1"/>
  <c r="D64" i="128" s="1"/>
  <c r="E60" i="153"/>
  <c r="E66" i="153" s="1"/>
  <c r="D54" i="153"/>
  <c r="D60" i="153" s="1"/>
  <c r="D66" i="153" s="1"/>
  <c r="D32" i="128"/>
  <c r="D71" i="128" s="1"/>
  <c r="D69" i="128"/>
  <c r="D83" i="128"/>
  <c r="D84" i="128"/>
  <c r="D42" i="128"/>
  <c r="D82" i="128"/>
  <c r="D33" i="128"/>
  <c r="D81" i="128"/>
  <c r="D121" i="128"/>
  <c r="E73" i="149"/>
  <c r="E44" i="142"/>
  <c r="D71" i="142"/>
  <c r="D70" i="147"/>
  <c r="E44" i="149"/>
  <c r="D44" i="149"/>
  <c r="D71" i="149"/>
  <c r="E71" i="149"/>
  <c r="F37" i="140"/>
  <c r="H37" i="140" s="1"/>
  <c r="E76" i="142"/>
  <c r="E71" i="142"/>
  <c r="D70" i="148"/>
  <c r="E36" i="142"/>
  <c r="E73" i="142"/>
  <c r="D75" i="138"/>
  <c r="D35" i="138"/>
  <c r="D72" i="138"/>
  <c r="F27" i="128"/>
  <c r="F81" i="128" s="1"/>
  <c r="E27" i="128"/>
  <c r="D26" i="144"/>
  <c r="D45" i="141"/>
  <c r="G4" i="141" s="1"/>
  <c r="D44" i="141"/>
  <c r="D34" i="128" l="1"/>
  <c r="G9" i="141"/>
  <c r="H9" i="141" s="1"/>
  <c r="G30" i="141"/>
  <c r="H30" i="141" s="1"/>
  <c r="H29" i="141" s="1"/>
  <c r="H52" i="140" s="1"/>
  <c r="D74" i="128"/>
  <c r="F42" i="128"/>
  <c r="F69" i="128"/>
  <c r="F72" i="128"/>
  <c r="F121" i="128"/>
  <c r="F83" i="128"/>
  <c r="F32" i="128"/>
  <c r="F84" i="128"/>
  <c r="F82" i="128"/>
  <c r="G27" i="128"/>
  <c r="F33" i="128"/>
  <c r="E82" i="128"/>
  <c r="E69" i="128"/>
  <c r="E81" i="128"/>
  <c r="E72" i="128"/>
  <c r="E83" i="128"/>
  <c r="E84" i="128"/>
  <c r="E32" i="128"/>
  <c r="E42" i="128"/>
  <c r="E33" i="128"/>
  <c r="E121" i="128"/>
  <c r="G17" i="141"/>
  <c r="H17" i="141" s="1"/>
  <c r="G24" i="141"/>
  <c r="H24" i="141" s="1"/>
  <c r="G14" i="141"/>
  <c r="H14" i="141" s="1"/>
  <c r="G16" i="141"/>
  <c r="H16" i="141" s="1"/>
  <c r="G10" i="141"/>
  <c r="H10" i="141" s="1"/>
  <c r="G19" i="141"/>
  <c r="H19" i="141" s="1"/>
  <c r="H18" i="141" s="1"/>
  <c r="H48" i="140" s="1"/>
  <c r="G25" i="141"/>
  <c r="H25" i="141" s="1"/>
  <c r="G11" i="141"/>
  <c r="H11" i="141" s="1"/>
  <c r="G12" i="141"/>
  <c r="H12" i="141" s="1"/>
  <c r="G13" i="141"/>
  <c r="H13" i="141" s="1"/>
  <c r="G20" i="141"/>
  <c r="H20" i="141" s="1"/>
  <c r="H49" i="140" s="1"/>
  <c r="G27" i="141"/>
  <c r="H27" i="141" s="1"/>
  <c r="G28" i="141"/>
  <c r="H28" i="141" s="1"/>
  <c r="G7" i="141"/>
  <c r="H7" i="141" s="1"/>
  <c r="G15" i="141"/>
  <c r="H15" i="141" s="1"/>
  <c r="G22" i="141"/>
  <c r="H22" i="141" s="1"/>
  <c r="G23" i="141"/>
  <c r="H23" i="141" s="1"/>
  <c r="G6" i="141"/>
  <c r="H6" i="141" s="1"/>
  <c r="H5" i="141" l="1"/>
  <c r="H46" i="140" s="1"/>
  <c r="G46" i="140" s="1"/>
  <c r="H8" i="141"/>
  <c r="H47" i="140" s="1"/>
  <c r="H21" i="141"/>
  <c r="H50" i="140" s="1"/>
  <c r="H26" i="141"/>
  <c r="H51" i="140" s="1"/>
  <c r="F74" i="128"/>
  <c r="F71" i="128"/>
  <c r="H27" i="128"/>
  <c r="G42" i="128"/>
  <c r="G81" i="128"/>
  <c r="G83" i="128"/>
  <c r="G84" i="128"/>
  <c r="G32" i="128"/>
  <c r="G82" i="128"/>
  <c r="G33" i="128"/>
  <c r="G121" i="128"/>
  <c r="G72" i="128"/>
  <c r="G69" i="128"/>
  <c r="F34" i="128"/>
  <c r="E74" i="128"/>
  <c r="E71" i="128"/>
  <c r="E34" i="128"/>
  <c r="H31" i="141" l="1"/>
  <c r="H33" i="141" s="1"/>
  <c r="G34" i="128"/>
  <c r="G71" i="128"/>
  <c r="I27" i="128"/>
  <c r="G74" i="128"/>
  <c r="H33" i="128"/>
  <c r="H82" i="128"/>
  <c r="H81" i="128"/>
  <c r="H69" i="128"/>
  <c r="H72" i="128"/>
  <c r="H84" i="128"/>
  <c r="H42" i="128"/>
  <c r="H32" i="128"/>
  <c r="H83" i="128"/>
  <c r="H121" i="128"/>
  <c r="J81" i="128" l="1"/>
  <c r="H34" i="128"/>
  <c r="H71" i="128"/>
  <c r="H74" i="128"/>
  <c r="I69" i="128"/>
  <c r="I82" i="128"/>
  <c r="I72" i="128"/>
  <c r="I33" i="128"/>
  <c r="I84" i="128"/>
  <c r="I121" i="128"/>
  <c r="I32" i="128"/>
  <c r="I83" i="128"/>
  <c r="I42" i="128"/>
  <c r="I81" i="128"/>
  <c r="D37" i="139"/>
  <c r="D36" i="139"/>
  <c r="D35" i="139"/>
  <c r="D67" i="117"/>
  <c r="H56" i="121"/>
  <c r="F35" i="121"/>
  <c r="G35" i="121" s="1"/>
  <c r="C17" i="121"/>
  <c r="D17" i="121" s="1"/>
  <c r="F17" i="121"/>
  <c r="G46" i="121"/>
  <c r="A51" i="121"/>
  <c r="A52" i="121"/>
  <c r="A53" i="121"/>
  <c r="A55" i="121"/>
  <c r="A50" i="121"/>
  <c r="B32" i="121"/>
  <c r="D77" i="30"/>
  <c r="D10" i="30"/>
  <c r="C82" i="153" l="1"/>
  <c r="C87" i="153" s="1"/>
  <c r="C80" i="154"/>
  <c r="D80" i="154" s="1"/>
  <c r="E82" i="153"/>
  <c r="E87" i="153" s="1"/>
  <c r="G55" i="121"/>
  <c r="I55" i="121" s="1"/>
  <c r="C80" i="128"/>
  <c r="D80" i="128" s="1"/>
  <c r="D85" i="128" s="1"/>
  <c r="C81" i="148"/>
  <c r="C82" i="149"/>
  <c r="C81" i="147"/>
  <c r="C82" i="142"/>
  <c r="C81" i="138"/>
  <c r="J32" i="128"/>
  <c r="J83" i="128"/>
  <c r="J42" i="128"/>
  <c r="J72" i="128"/>
  <c r="J84" i="128"/>
  <c r="J82" i="128"/>
  <c r="J33" i="128"/>
  <c r="J121" i="128"/>
  <c r="J69" i="128"/>
  <c r="K27" i="128"/>
  <c r="K32" i="128" s="1"/>
  <c r="I74" i="128"/>
  <c r="I34" i="128"/>
  <c r="I71" i="128"/>
  <c r="D82" i="30"/>
  <c r="C81" i="119"/>
  <c r="C86" i="119" s="1"/>
  <c r="G17" i="121"/>
  <c r="G52" i="121" s="1"/>
  <c r="I52" i="121" s="1"/>
  <c r="D34" i="139"/>
  <c r="D82" i="153" l="1"/>
  <c r="D87" i="153" s="1"/>
  <c r="C85" i="154"/>
  <c r="D85" i="154"/>
  <c r="E80" i="154"/>
  <c r="E85" i="154" s="1"/>
  <c r="C85" i="128"/>
  <c r="I80" i="128"/>
  <c r="I85" i="128" s="1"/>
  <c r="H80" i="128"/>
  <c r="H85" i="128" s="1"/>
  <c r="J80" i="128"/>
  <c r="J85" i="128" s="1"/>
  <c r="G80" i="128"/>
  <c r="G85" i="128" s="1"/>
  <c r="F80" i="128"/>
  <c r="F85" i="128" s="1"/>
  <c r="E80" i="128"/>
  <c r="E85" i="128" s="1"/>
  <c r="D38" i="139"/>
  <c r="D39" i="139"/>
  <c r="C86" i="138"/>
  <c r="D81" i="138"/>
  <c r="D86" i="138" s="1"/>
  <c r="C87" i="142"/>
  <c r="D82" i="142"/>
  <c r="D87" i="142" s="1"/>
  <c r="E82" i="142"/>
  <c r="E87" i="142" s="1"/>
  <c r="C86" i="147"/>
  <c r="D81" i="147"/>
  <c r="D86" i="147" s="1"/>
  <c r="C87" i="149"/>
  <c r="D82" i="149"/>
  <c r="D87" i="149" s="1"/>
  <c r="E82" i="149"/>
  <c r="E87" i="149" s="1"/>
  <c r="D81" i="148"/>
  <c r="D86" i="148" s="1"/>
  <c r="C86" i="148"/>
  <c r="J34" i="128"/>
  <c r="K121" i="128"/>
  <c r="K72" i="128"/>
  <c r="K84" i="128"/>
  <c r="J71" i="128"/>
  <c r="J74" i="128"/>
  <c r="K80" i="128"/>
  <c r="L27" i="128"/>
  <c r="L42" i="128" s="1"/>
  <c r="K83" i="128"/>
  <c r="K69" i="128"/>
  <c r="K82" i="128"/>
  <c r="K42" i="128"/>
  <c r="K33" i="128"/>
  <c r="K34" i="128" s="1"/>
  <c r="K81" i="128"/>
  <c r="L82" i="128" l="1"/>
  <c r="L32" i="128"/>
  <c r="M27" i="128"/>
  <c r="M33" i="128" s="1"/>
  <c r="N27" i="128"/>
  <c r="L83" i="128"/>
  <c r="L80" i="128"/>
  <c r="K71" i="128"/>
  <c r="K85" i="128"/>
  <c r="L121" i="128"/>
  <c r="L33" i="128"/>
  <c r="L72" i="128"/>
  <c r="L81" i="128"/>
  <c r="L69" i="128"/>
  <c r="K74" i="128"/>
  <c r="L84" i="128"/>
  <c r="M83" i="128" l="1"/>
  <c r="M84" i="128"/>
  <c r="M32" i="128"/>
  <c r="M71" i="128" s="1"/>
  <c r="M72" i="128"/>
  <c r="M81" i="128"/>
  <c r="L34" i="128"/>
  <c r="M42" i="128"/>
  <c r="M69" i="128"/>
  <c r="M121" i="128"/>
  <c r="M80" i="128"/>
  <c r="M82" i="128"/>
  <c r="L74" i="128"/>
  <c r="N81" i="128"/>
  <c r="N69" i="128"/>
  <c r="N33" i="128"/>
  <c r="N84" i="128"/>
  <c r="N72" i="128"/>
  <c r="N80" i="128"/>
  <c r="N32" i="128"/>
  <c r="N42" i="128"/>
  <c r="N83" i="128"/>
  <c r="N121" i="128"/>
  <c r="N82" i="128"/>
  <c r="L85" i="128"/>
  <c r="L71" i="128"/>
  <c r="M74" i="128" l="1"/>
  <c r="M34" i="128"/>
  <c r="N71" i="128"/>
  <c r="M85" i="128"/>
  <c r="N74" i="128"/>
  <c r="N34" i="128"/>
  <c r="N85" i="128"/>
  <c r="G4" i="139" l="1"/>
  <c r="G24" i="139" l="1"/>
  <c r="H24" i="139" s="1"/>
  <c r="G12" i="139"/>
  <c r="H12" i="139" s="1"/>
  <c r="G8" i="139"/>
  <c r="H8" i="139" s="1"/>
  <c r="G19" i="139"/>
  <c r="H19" i="139" s="1"/>
  <c r="G7" i="139"/>
  <c r="H7" i="139" s="1"/>
  <c r="G6" i="139"/>
  <c r="H6" i="139" s="1"/>
  <c r="G11" i="139"/>
  <c r="H11" i="139" s="1"/>
  <c r="G16" i="139"/>
  <c r="H16" i="139" s="1"/>
  <c r="G18" i="139"/>
  <c r="H18" i="139" s="1"/>
  <c r="G21" i="139"/>
  <c r="H21" i="139" s="1"/>
  <c r="G22" i="139"/>
  <c r="H22" i="139" s="1"/>
  <c r="G20" i="139"/>
  <c r="H20" i="139" s="1"/>
  <c r="G9" i="139"/>
  <c r="H9" i="139" s="1"/>
  <c r="G15" i="139"/>
  <c r="H15" i="139" s="1"/>
  <c r="G5" i="139"/>
  <c r="H5" i="139" s="1"/>
  <c r="G14" i="139"/>
  <c r="H14" i="139" s="1"/>
  <c r="G23" i="139"/>
  <c r="H23" i="139" s="1"/>
  <c r="G10" i="139"/>
  <c r="H10" i="139" s="1"/>
  <c r="G13" i="139"/>
  <c r="H13" i="139" s="1"/>
  <c r="G17" i="139"/>
  <c r="H17" i="139" s="1"/>
  <c r="H25" i="139" l="1"/>
  <c r="F23" i="121"/>
  <c r="G23" i="121" s="1"/>
  <c r="G53" i="121" s="1"/>
  <c r="I53" i="121" s="1"/>
  <c r="F11" i="121"/>
  <c r="G11" i="121" s="1"/>
  <c r="F5" i="121"/>
  <c r="G5" i="121" s="1"/>
  <c r="G50" i="121" s="1"/>
  <c r="H27" i="139" l="1"/>
  <c r="G43" i="140" s="1"/>
  <c r="H43" i="140" s="1"/>
  <c r="G51" i="121"/>
  <c r="G54" i="121"/>
  <c r="I54" i="121" s="1"/>
  <c r="D66" i="117"/>
  <c r="D65" i="117"/>
  <c r="H60" i="121" l="1"/>
  <c r="I61" i="121"/>
  <c r="D64" i="117"/>
  <c r="D69" i="117" s="1"/>
  <c r="G4" i="117" l="1"/>
  <c r="D68" i="117"/>
  <c r="G49" i="117" l="1"/>
  <c r="H49" i="117" s="1"/>
  <c r="G47" i="117"/>
  <c r="H47" i="117" s="1"/>
  <c r="G48" i="117"/>
  <c r="H48" i="117" s="1"/>
  <c r="G9" i="144"/>
  <c r="H9" i="144" s="1"/>
  <c r="G10" i="144"/>
  <c r="H10" i="144" s="1"/>
  <c r="G8" i="144"/>
  <c r="H8" i="144" s="1"/>
  <c r="G11" i="144"/>
  <c r="H11" i="144" s="1"/>
  <c r="G12" i="144"/>
  <c r="H12" i="144" s="1"/>
  <c r="G5" i="145"/>
  <c r="H5" i="145" s="1"/>
  <c r="G5" i="144"/>
  <c r="H5" i="144" s="1"/>
  <c r="G6" i="144"/>
  <c r="H6" i="144" s="1"/>
  <c r="G7" i="144"/>
  <c r="H7" i="144" s="1"/>
  <c r="G46" i="117"/>
  <c r="H46" i="117" s="1"/>
  <c r="G45" i="117"/>
  <c r="H45" i="117" s="1"/>
  <c r="G10" i="145"/>
  <c r="H10" i="145" s="1"/>
  <c r="G18" i="145"/>
  <c r="H18" i="145" s="1"/>
  <c r="G12" i="145"/>
  <c r="H12" i="145" s="1"/>
  <c r="G21" i="145"/>
  <c r="H21" i="145" s="1"/>
  <c r="G8" i="145"/>
  <c r="H8" i="145" s="1"/>
  <c r="G23" i="145"/>
  <c r="H23" i="145" s="1"/>
  <c r="G11" i="145"/>
  <c r="H11" i="145" s="1"/>
  <c r="G19" i="145"/>
  <c r="H19" i="145" s="1"/>
  <c r="G20" i="145"/>
  <c r="H20" i="145" s="1"/>
  <c r="G7" i="145"/>
  <c r="H7" i="145" s="1"/>
  <c r="G16" i="145"/>
  <c r="H16" i="145" s="1"/>
  <c r="G9" i="145"/>
  <c r="H9" i="145" s="1"/>
  <c r="G13" i="145"/>
  <c r="H13" i="145" s="1"/>
  <c r="G14" i="145"/>
  <c r="H14" i="145" s="1"/>
  <c r="G15" i="145"/>
  <c r="H15" i="145" s="1"/>
  <c r="G22" i="145"/>
  <c r="H22" i="145" s="1"/>
  <c r="G17" i="145"/>
  <c r="H17" i="145" s="1"/>
  <c r="G6" i="145"/>
  <c r="H6" i="145" s="1"/>
  <c r="G5" i="117"/>
  <c r="H5" i="117" s="1"/>
  <c r="D26" i="119"/>
  <c r="D28" i="119" s="1"/>
  <c r="D107" i="119"/>
  <c r="D125" i="119" s="1"/>
  <c r="G52" i="117"/>
  <c r="H52" i="117" s="1"/>
  <c r="G53" i="117"/>
  <c r="H53" i="117" s="1"/>
  <c r="G16" i="117"/>
  <c r="H16" i="117" s="1"/>
  <c r="G31" i="117"/>
  <c r="H31" i="117" s="1"/>
  <c r="G18" i="117"/>
  <c r="H18" i="117" s="1"/>
  <c r="G34" i="117"/>
  <c r="H34" i="117" s="1"/>
  <c r="G9" i="117"/>
  <c r="H9" i="117" s="1"/>
  <c r="G25" i="117"/>
  <c r="H25" i="117" s="1"/>
  <c r="G41" i="117"/>
  <c r="H41" i="117" s="1"/>
  <c r="G7" i="117"/>
  <c r="H7" i="117" s="1"/>
  <c r="G38" i="117"/>
  <c r="H38" i="117" s="1"/>
  <c r="G15" i="117"/>
  <c r="H15" i="117" s="1"/>
  <c r="G44" i="117"/>
  <c r="H44" i="117" s="1"/>
  <c r="G35" i="117"/>
  <c r="H35" i="117" s="1"/>
  <c r="G51" i="117"/>
  <c r="H51" i="117" s="1"/>
  <c r="G26" i="117"/>
  <c r="H26" i="117" s="1"/>
  <c r="G11" i="117"/>
  <c r="H11" i="117" s="1"/>
  <c r="G43" i="117"/>
  <c r="H43" i="117" s="1"/>
  <c r="G13" i="117"/>
  <c r="H13" i="117" s="1"/>
  <c r="G14" i="117"/>
  <c r="H14" i="117" s="1"/>
  <c r="G23" i="117"/>
  <c r="H23" i="117" s="1"/>
  <c r="G17" i="117"/>
  <c r="H17" i="117" s="1"/>
  <c r="G22" i="117"/>
  <c r="H22" i="117" s="1"/>
  <c r="G30" i="117"/>
  <c r="H30" i="117" s="1"/>
  <c r="G28" i="117"/>
  <c r="H28" i="117" s="1"/>
  <c r="G10" i="117"/>
  <c r="H10" i="117" s="1"/>
  <c r="G27" i="117"/>
  <c r="H27" i="117" s="1"/>
  <c r="G21" i="117"/>
  <c r="H21" i="117" s="1"/>
  <c r="G8" i="117"/>
  <c r="H8" i="117" s="1"/>
  <c r="G20" i="117"/>
  <c r="H20" i="117" s="1"/>
  <c r="G37" i="117"/>
  <c r="H37" i="117" s="1"/>
  <c r="G24" i="117"/>
  <c r="H24" i="117" s="1"/>
  <c r="G40" i="117"/>
  <c r="H40" i="117" s="1"/>
  <c r="G33" i="117"/>
  <c r="H33" i="117" s="1"/>
  <c r="G19" i="117"/>
  <c r="H19" i="117" s="1"/>
  <c r="G50" i="117"/>
  <c r="H50" i="117" s="1"/>
  <c r="G32" i="117"/>
  <c r="H32" i="117" s="1"/>
  <c r="G12" i="117"/>
  <c r="H12" i="117" s="1"/>
  <c r="G42" i="117"/>
  <c r="H42" i="117" s="1"/>
  <c r="G6" i="117"/>
  <c r="H6" i="117" s="1"/>
  <c r="G36" i="117"/>
  <c r="H36" i="117" s="1"/>
  <c r="G29" i="117"/>
  <c r="H29" i="117" s="1"/>
  <c r="G39" i="117"/>
  <c r="H39" i="117" s="1"/>
  <c r="H13" i="144" l="1"/>
  <c r="H15" i="144" s="1"/>
  <c r="G44" i="140" s="1"/>
  <c r="H44" i="140" s="1"/>
  <c r="H24" i="145"/>
  <c r="H26" i="145" s="1"/>
  <c r="H55" i="117"/>
  <c r="H57" i="117" s="1"/>
  <c r="G42" i="140" s="1"/>
  <c r="H42" i="140" s="1"/>
  <c r="D85" i="119"/>
  <c r="D33" i="119"/>
  <c r="D34" i="119"/>
  <c r="D65" i="119"/>
  <c r="D82" i="119"/>
  <c r="D84" i="119"/>
  <c r="D121" i="119"/>
  <c r="D43" i="119"/>
  <c r="D70" i="119"/>
  <c r="D83" i="119"/>
  <c r="D73" i="119"/>
  <c r="D81" i="119"/>
  <c r="G45" i="140" l="1"/>
  <c r="H45" i="140" s="1"/>
  <c r="D75" i="119"/>
  <c r="D86" i="119"/>
  <c r="D72" i="119"/>
  <c r="D35" i="119"/>
  <c r="D25" i="30"/>
  <c r="D24" i="30"/>
  <c r="D23" i="30"/>
  <c r="D22" i="30"/>
  <c r="D21" i="30"/>
  <c r="D18" i="30"/>
  <c r="D17" i="30"/>
  <c r="C45" i="153" l="1"/>
  <c r="E45" i="153" s="1"/>
  <c r="C43" i="154"/>
  <c r="C43" i="153"/>
  <c r="D43" i="153" s="1"/>
  <c r="C41" i="154"/>
  <c r="C42" i="153"/>
  <c r="E42" i="153" s="1"/>
  <c r="C40" i="154"/>
  <c r="C46" i="153"/>
  <c r="E46" i="153" s="1"/>
  <c r="C44" i="154"/>
  <c r="C47" i="153"/>
  <c r="D47" i="153" s="1"/>
  <c r="C45" i="154"/>
  <c r="C48" i="153"/>
  <c r="D48" i="153" s="1"/>
  <c r="C46" i="154"/>
  <c r="C49" i="153"/>
  <c r="D49" i="153" s="1"/>
  <c r="C47" i="154"/>
  <c r="E49" i="153"/>
  <c r="C46" i="147"/>
  <c r="D46" i="147" s="1"/>
  <c r="C47" i="149"/>
  <c r="C47" i="142"/>
  <c r="C46" i="148"/>
  <c r="D46" i="148" s="1"/>
  <c r="C46" i="138"/>
  <c r="D46" i="138" s="1"/>
  <c r="C47" i="128"/>
  <c r="J47" i="128" s="1"/>
  <c r="C48" i="147"/>
  <c r="D48" i="147" s="1"/>
  <c r="C49" i="149"/>
  <c r="C49" i="142"/>
  <c r="C48" i="148"/>
  <c r="D48" i="148" s="1"/>
  <c r="C48" i="138"/>
  <c r="D48" i="138" s="1"/>
  <c r="C42" i="147"/>
  <c r="D42" i="147" s="1"/>
  <c r="C43" i="149"/>
  <c r="C43" i="142"/>
  <c r="C42" i="148"/>
  <c r="D42" i="148" s="1"/>
  <c r="C42" i="138"/>
  <c r="D42" i="138" s="1"/>
  <c r="C41" i="147"/>
  <c r="C42" i="149"/>
  <c r="C42" i="142"/>
  <c r="C41" i="148"/>
  <c r="C41" i="138"/>
  <c r="C47" i="147"/>
  <c r="D47" i="147" s="1"/>
  <c r="C48" i="149"/>
  <c r="C48" i="142"/>
  <c r="C47" i="148"/>
  <c r="D47" i="148" s="1"/>
  <c r="C47" i="138"/>
  <c r="D47" i="138" s="1"/>
  <c r="C44" i="148"/>
  <c r="D44" i="148" s="1"/>
  <c r="C45" i="142"/>
  <c r="C44" i="147"/>
  <c r="D44" i="147" s="1"/>
  <c r="C45" i="149"/>
  <c r="C44" i="138"/>
  <c r="D44" i="138" s="1"/>
  <c r="C46" i="149"/>
  <c r="C45" i="148"/>
  <c r="D45" i="148" s="1"/>
  <c r="C45" i="147"/>
  <c r="D45" i="147" s="1"/>
  <c r="C46" i="142"/>
  <c r="C45" i="138"/>
  <c r="D45" i="138" s="1"/>
  <c r="C46" i="119"/>
  <c r="D46" i="119" s="1"/>
  <c r="C45" i="128"/>
  <c r="C47" i="119"/>
  <c r="D47" i="119" s="1"/>
  <c r="C46" i="128"/>
  <c r="H46" i="128" s="1"/>
  <c r="C41" i="119"/>
  <c r="D41" i="119" s="1"/>
  <c r="C40" i="128"/>
  <c r="C42" i="119"/>
  <c r="D42" i="119" s="1"/>
  <c r="C41" i="128"/>
  <c r="C44" i="119"/>
  <c r="D44" i="119" s="1"/>
  <c r="C43" i="128"/>
  <c r="C45" i="119"/>
  <c r="D45" i="119" s="1"/>
  <c r="C44" i="128"/>
  <c r="C48" i="119"/>
  <c r="D48" i="119" s="1"/>
  <c r="D68" i="30"/>
  <c r="D26" i="30"/>
  <c r="D9" i="30"/>
  <c r="D11" i="30" s="1"/>
  <c r="D46" i="153" l="1"/>
  <c r="E43" i="153"/>
  <c r="D45" i="153"/>
  <c r="E48" i="153"/>
  <c r="D42" i="153"/>
  <c r="D50" i="153" s="1"/>
  <c r="D65" i="153" s="1"/>
  <c r="C50" i="153"/>
  <c r="C37" i="153" s="1"/>
  <c r="E44" i="154"/>
  <c r="D44" i="154"/>
  <c r="C72" i="153"/>
  <c r="D72" i="153" s="1"/>
  <c r="C70" i="154"/>
  <c r="E40" i="154"/>
  <c r="C48" i="154"/>
  <c r="D40" i="154"/>
  <c r="E47" i="153"/>
  <c r="D46" i="154"/>
  <c r="E46" i="154"/>
  <c r="D41" i="154"/>
  <c r="E41" i="154"/>
  <c r="D47" i="154"/>
  <c r="E47" i="154"/>
  <c r="D45" i="154"/>
  <c r="E45" i="154"/>
  <c r="E43" i="154"/>
  <c r="D43" i="154"/>
  <c r="K47" i="128"/>
  <c r="I47" i="128"/>
  <c r="H47" i="128"/>
  <c r="N47" i="128"/>
  <c r="D47" i="128"/>
  <c r="G47" i="128"/>
  <c r="E47" i="128"/>
  <c r="L47" i="128"/>
  <c r="M47" i="128"/>
  <c r="D46" i="149"/>
  <c r="E46" i="149"/>
  <c r="E48" i="149"/>
  <c r="D48" i="149"/>
  <c r="D43" i="142"/>
  <c r="E43" i="142"/>
  <c r="C72" i="142"/>
  <c r="C72" i="149"/>
  <c r="C71" i="148"/>
  <c r="C71" i="147"/>
  <c r="C71" i="138"/>
  <c r="C49" i="138"/>
  <c r="D41" i="138"/>
  <c r="D49" i="138" s="1"/>
  <c r="D64" i="138" s="1"/>
  <c r="D43" i="149"/>
  <c r="E43" i="149"/>
  <c r="D48" i="142"/>
  <c r="E48" i="142"/>
  <c r="F47" i="128"/>
  <c r="D45" i="142"/>
  <c r="E45" i="142"/>
  <c r="C49" i="148"/>
  <c r="D41" i="148"/>
  <c r="D49" i="148" s="1"/>
  <c r="D64" i="148" s="1"/>
  <c r="D46" i="142"/>
  <c r="E46" i="142"/>
  <c r="C50" i="142"/>
  <c r="D42" i="142"/>
  <c r="E42" i="142"/>
  <c r="D47" i="142"/>
  <c r="E47" i="142"/>
  <c r="D49" i="149"/>
  <c r="E49" i="149"/>
  <c r="D42" i="149"/>
  <c r="C50" i="149"/>
  <c r="E42" i="149"/>
  <c r="D47" i="149"/>
  <c r="E47" i="149"/>
  <c r="D45" i="149"/>
  <c r="E45" i="149"/>
  <c r="C49" i="147"/>
  <c r="D41" i="147"/>
  <c r="D49" i="147" s="1"/>
  <c r="D64" i="147" s="1"/>
  <c r="D49" i="142"/>
  <c r="E49" i="142"/>
  <c r="D43" i="128"/>
  <c r="F43" i="128"/>
  <c r="E43" i="128"/>
  <c r="G43" i="128"/>
  <c r="H43" i="128"/>
  <c r="I43" i="128"/>
  <c r="J43" i="128"/>
  <c r="K43" i="128"/>
  <c r="M43" i="128"/>
  <c r="L43" i="128"/>
  <c r="N43" i="128"/>
  <c r="D45" i="128"/>
  <c r="E45" i="128"/>
  <c r="F45" i="128"/>
  <c r="G45" i="128"/>
  <c r="H45" i="128"/>
  <c r="I45" i="128"/>
  <c r="J45" i="128"/>
  <c r="K45" i="128"/>
  <c r="L45" i="128"/>
  <c r="M45" i="128"/>
  <c r="N45" i="128"/>
  <c r="C71" i="119"/>
  <c r="D71" i="119" s="1"/>
  <c r="C70" i="128"/>
  <c r="D44" i="128"/>
  <c r="F44" i="128"/>
  <c r="E44" i="128"/>
  <c r="G44" i="128"/>
  <c r="H44" i="128"/>
  <c r="I44" i="128"/>
  <c r="J44" i="128"/>
  <c r="K44" i="128"/>
  <c r="L44" i="128"/>
  <c r="M44" i="128"/>
  <c r="N44" i="128"/>
  <c r="C48" i="128"/>
  <c r="D40" i="128"/>
  <c r="F40" i="128"/>
  <c r="E40" i="128"/>
  <c r="G40" i="128"/>
  <c r="H40" i="128"/>
  <c r="I40" i="128"/>
  <c r="J40" i="128"/>
  <c r="K40" i="128"/>
  <c r="L40" i="128"/>
  <c r="M40" i="128"/>
  <c r="N40" i="128"/>
  <c r="D46" i="128"/>
  <c r="F46" i="128"/>
  <c r="E46" i="128"/>
  <c r="G46" i="128"/>
  <c r="I46" i="128"/>
  <c r="J46" i="128"/>
  <c r="K46" i="128"/>
  <c r="L46" i="128"/>
  <c r="M46" i="128"/>
  <c r="N46" i="128"/>
  <c r="D41" i="128"/>
  <c r="E41" i="128"/>
  <c r="F41" i="128"/>
  <c r="G41" i="128"/>
  <c r="H41" i="128"/>
  <c r="I41" i="128"/>
  <c r="J41" i="128"/>
  <c r="K41" i="128"/>
  <c r="M41" i="128"/>
  <c r="L41" i="128"/>
  <c r="N41" i="128"/>
  <c r="D49" i="119"/>
  <c r="D64" i="119" s="1"/>
  <c r="C49" i="119"/>
  <c r="C36" i="119" s="1"/>
  <c r="D71" i="30"/>
  <c r="D83" i="30"/>
  <c r="D12" i="30"/>
  <c r="C88" i="153" l="1"/>
  <c r="E72" i="153"/>
  <c r="E50" i="153"/>
  <c r="E65" i="153" s="1"/>
  <c r="E48" i="154"/>
  <c r="E63" i="154" s="1"/>
  <c r="D48" i="154"/>
  <c r="D63" i="154" s="1"/>
  <c r="C35" i="154"/>
  <c r="C86" i="154"/>
  <c r="D70" i="154"/>
  <c r="E70" i="154"/>
  <c r="C75" i="153"/>
  <c r="C77" i="153" s="1"/>
  <c r="C73" i="154"/>
  <c r="D37" i="153"/>
  <c r="D38" i="153" s="1"/>
  <c r="D64" i="153" s="1"/>
  <c r="D67" i="153" s="1"/>
  <c r="D124" i="153" s="1"/>
  <c r="C38" i="153"/>
  <c r="E37" i="153"/>
  <c r="E38" i="153" s="1"/>
  <c r="E64" i="153" s="1"/>
  <c r="D88" i="153"/>
  <c r="D89" i="153" s="1"/>
  <c r="D98" i="153" s="1"/>
  <c r="D100" i="153" s="1"/>
  <c r="D126" i="153" s="1"/>
  <c r="E88" i="153"/>
  <c r="E89" i="153" s="1"/>
  <c r="E98" i="153" s="1"/>
  <c r="E100" i="153" s="1"/>
  <c r="E126" i="153" s="1"/>
  <c r="C89" i="153"/>
  <c r="D50" i="149"/>
  <c r="D65" i="149" s="1"/>
  <c r="C36" i="148"/>
  <c r="C87" i="148"/>
  <c r="C36" i="147"/>
  <c r="C87" i="147"/>
  <c r="D72" i="142"/>
  <c r="E72" i="142"/>
  <c r="C36" i="138"/>
  <c r="C87" i="138"/>
  <c r="E50" i="142"/>
  <c r="E65" i="142" s="1"/>
  <c r="D71" i="138"/>
  <c r="C74" i="148"/>
  <c r="D74" i="148" s="1"/>
  <c r="C75" i="149"/>
  <c r="C74" i="147"/>
  <c r="D74" i="147" s="1"/>
  <c r="C75" i="142"/>
  <c r="C77" i="142" s="1"/>
  <c r="C74" i="138"/>
  <c r="D74" i="138" s="1"/>
  <c r="G48" i="128"/>
  <c r="G63" i="128" s="1"/>
  <c r="E50" i="149"/>
  <c r="E65" i="149" s="1"/>
  <c r="D50" i="142"/>
  <c r="D65" i="142" s="1"/>
  <c r="D71" i="147"/>
  <c r="D72" i="149"/>
  <c r="E72" i="149"/>
  <c r="C37" i="149"/>
  <c r="C88" i="149"/>
  <c r="C37" i="142"/>
  <c r="C88" i="142"/>
  <c r="D71" i="148"/>
  <c r="C76" i="148"/>
  <c r="N48" i="128"/>
  <c r="N63" i="128" s="1"/>
  <c r="E48" i="128"/>
  <c r="E63" i="128" s="1"/>
  <c r="M48" i="128"/>
  <c r="M63" i="128" s="1"/>
  <c r="F48" i="128"/>
  <c r="F63" i="128" s="1"/>
  <c r="L48" i="128"/>
  <c r="L63" i="128" s="1"/>
  <c r="K48" i="128"/>
  <c r="K63" i="128" s="1"/>
  <c r="C35" i="128"/>
  <c r="C86" i="128"/>
  <c r="D70" i="128"/>
  <c r="E70" i="128"/>
  <c r="F70" i="128"/>
  <c r="G70" i="128"/>
  <c r="H70" i="128"/>
  <c r="I70" i="128"/>
  <c r="K70" i="128"/>
  <c r="J70" i="128"/>
  <c r="L70" i="128"/>
  <c r="M70" i="128"/>
  <c r="N70" i="128"/>
  <c r="D48" i="128"/>
  <c r="D63" i="128" s="1"/>
  <c r="J48" i="128"/>
  <c r="J63" i="128" s="1"/>
  <c r="I48" i="128"/>
  <c r="I63" i="128" s="1"/>
  <c r="C74" i="119"/>
  <c r="D74" i="119" s="1"/>
  <c r="D76" i="119" s="1"/>
  <c r="D123" i="119" s="1"/>
  <c r="C73" i="128"/>
  <c r="C75" i="128" s="1"/>
  <c r="H48" i="128"/>
  <c r="H63" i="128" s="1"/>
  <c r="C87" i="119"/>
  <c r="C88" i="119" s="1"/>
  <c r="C37" i="119"/>
  <c r="D36" i="119"/>
  <c r="D37" i="119" s="1"/>
  <c r="D84" i="30"/>
  <c r="D73" i="30"/>
  <c r="D75" i="154" l="1"/>
  <c r="E67" i="153"/>
  <c r="E124" i="153" s="1"/>
  <c r="D75" i="153"/>
  <c r="D77" i="153" s="1"/>
  <c r="D125" i="153" s="1"/>
  <c r="D112" i="153" s="1"/>
  <c r="E73" i="154"/>
  <c r="D73" i="154"/>
  <c r="C75" i="154"/>
  <c r="D123" i="154"/>
  <c r="E86" i="154"/>
  <c r="E87" i="154" s="1"/>
  <c r="E96" i="154" s="1"/>
  <c r="E98" i="154" s="1"/>
  <c r="E124" i="154" s="1"/>
  <c r="D86" i="154"/>
  <c r="D87" i="154" s="1"/>
  <c r="D96" i="154" s="1"/>
  <c r="D98" i="154" s="1"/>
  <c r="D124" i="154" s="1"/>
  <c r="C87" i="154"/>
  <c r="E75" i="153"/>
  <c r="E77" i="153" s="1"/>
  <c r="E125" i="153" s="1"/>
  <c r="C36" i="154"/>
  <c r="E35" i="154"/>
  <c r="E36" i="154" s="1"/>
  <c r="E62" i="154" s="1"/>
  <c r="E65" i="154" s="1"/>
  <c r="E122" i="154" s="1"/>
  <c r="D35" i="154"/>
  <c r="D36" i="154" s="1"/>
  <c r="D128" i="153"/>
  <c r="D76" i="148"/>
  <c r="D123" i="148" s="1"/>
  <c r="C76" i="138"/>
  <c r="D76" i="138"/>
  <c r="D123" i="138" s="1"/>
  <c r="D76" i="147"/>
  <c r="D123" i="147" s="1"/>
  <c r="C76" i="147"/>
  <c r="E75" i="149"/>
  <c r="E77" i="149" s="1"/>
  <c r="E125" i="149" s="1"/>
  <c r="D75" i="149"/>
  <c r="D77" i="149" s="1"/>
  <c r="D125" i="149" s="1"/>
  <c r="C37" i="138"/>
  <c r="D36" i="138"/>
  <c r="D37" i="138" s="1"/>
  <c r="D63" i="138" s="1"/>
  <c r="D66" i="138" s="1"/>
  <c r="D122" i="138" s="1"/>
  <c r="C38" i="142"/>
  <c r="D37" i="142"/>
  <c r="D38" i="142" s="1"/>
  <c r="D64" i="142" s="1"/>
  <c r="D67" i="142" s="1"/>
  <c r="D124" i="142" s="1"/>
  <c r="E37" i="142"/>
  <c r="E38" i="142" s="1"/>
  <c r="E64" i="142" s="1"/>
  <c r="E67" i="142" s="1"/>
  <c r="E124" i="142" s="1"/>
  <c r="C88" i="147"/>
  <c r="D87" i="147"/>
  <c r="D88" i="147" s="1"/>
  <c r="D97" i="147" s="1"/>
  <c r="D99" i="147" s="1"/>
  <c r="D124" i="147" s="1"/>
  <c r="C89" i="149"/>
  <c r="E88" i="149"/>
  <c r="E89" i="149" s="1"/>
  <c r="E98" i="149" s="1"/>
  <c r="E100" i="149" s="1"/>
  <c r="E126" i="149" s="1"/>
  <c r="D88" i="149"/>
  <c r="D89" i="149" s="1"/>
  <c r="D98" i="149" s="1"/>
  <c r="D100" i="149" s="1"/>
  <c r="D126" i="149" s="1"/>
  <c r="C37" i="147"/>
  <c r="D36" i="147"/>
  <c r="D37" i="147" s="1"/>
  <c r="D63" i="147" s="1"/>
  <c r="D66" i="147" s="1"/>
  <c r="D122" i="147" s="1"/>
  <c r="C38" i="149"/>
  <c r="D37" i="149"/>
  <c r="D38" i="149" s="1"/>
  <c r="D64" i="149" s="1"/>
  <c r="D67" i="149" s="1"/>
  <c r="D124" i="149" s="1"/>
  <c r="E37" i="149"/>
  <c r="E38" i="149" s="1"/>
  <c r="E64" i="149" s="1"/>
  <c r="E67" i="149" s="1"/>
  <c r="E124" i="149" s="1"/>
  <c r="D87" i="148"/>
  <c r="D88" i="148" s="1"/>
  <c r="D97" i="148" s="1"/>
  <c r="D99" i="148" s="1"/>
  <c r="D124" i="148" s="1"/>
  <c r="C88" i="148"/>
  <c r="E75" i="142"/>
  <c r="E77" i="142" s="1"/>
  <c r="E125" i="142" s="1"/>
  <c r="D75" i="142"/>
  <c r="D77" i="142" s="1"/>
  <c r="D125" i="142" s="1"/>
  <c r="E88" i="142"/>
  <c r="E89" i="142" s="1"/>
  <c r="E98" i="142" s="1"/>
  <c r="E100" i="142" s="1"/>
  <c r="E126" i="142" s="1"/>
  <c r="D88" i="142"/>
  <c r="D89" i="142" s="1"/>
  <c r="D98" i="142" s="1"/>
  <c r="D100" i="142" s="1"/>
  <c r="D126" i="142" s="1"/>
  <c r="C89" i="142"/>
  <c r="C77" i="149"/>
  <c r="C88" i="138"/>
  <c r="D87" i="138"/>
  <c r="D88" i="138" s="1"/>
  <c r="D97" i="138" s="1"/>
  <c r="D99" i="138" s="1"/>
  <c r="D124" i="138" s="1"/>
  <c r="C37" i="148"/>
  <c r="D36" i="148"/>
  <c r="D37" i="148" s="1"/>
  <c r="D63" i="148" s="1"/>
  <c r="D66" i="148" s="1"/>
  <c r="D122" i="148" s="1"/>
  <c r="D73" i="128"/>
  <c r="D75" i="128" s="1"/>
  <c r="D123" i="128" s="1"/>
  <c r="F73" i="128"/>
  <c r="F75" i="128" s="1"/>
  <c r="F123" i="128" s="1"/>
  <c r="E73" i="128"/>
  <c r="E75" i="128" s="1"/>
  <c r="E123" i="128" s="1"/>
  <c r="G73" i="128"/>
  <c r="G75" i="128" s="1"/>
  <c r="G123" i="128" s="1"/>
  <c r="H73" i="128"/>
  <c r="H75" i="128" s="1"/>
  <c r="H123" i="128" s="1"/>
  <c r="I73" i="128"/>
  <c r="I75" i="128" s="1"/>
  <c r="I123" i="128" s="1"/>
  <c r="J73" i="128"/>
  <c r="J75" i="128" s="1"/>
  <c r="J123" i="128" s="1"/>
  <c r="K73" i="128"/>
  <c r="K75" i="128" s="1"/>
  <c r="K123" i="128" s="1"/>
  <c r="L73" i="128"/>
  <c r="L75" i="128" s="1"/>
  <c r="L123" i="128" s="1"/>
  <c r="M73" i="128"/>
  <c r="M75" i="128" s="1"/>
  <c r="M123" i="128" s="1"/>
  <c r="N73" i="128"/>
  <c r="N75" i="128" s="1"/>
  <c r="N123" i="128" s="1"/>
  <c r="C87" i="128"/>
  <c r="D86" i="128"/>
  <c r="D87" i="128" s="1"/>
  <c r="D96" i="128" s="1"/>
  <c r="D98" i="128" s="1"/>
  <c r="D124" i="128" s="1"/>
  <c r="F86" i="128"/>
  <c r="F87" i="128" s="1"/>
  <c r="F96" i="128" s="1"/>
  <c r="F98" i="128" s="1"/>
  <c r="F124" i="128" s="1"/>
  <c r="E86" i="128"/>
  <c r="E87" i="128" s="1"/>
  <c r="E96" i="128" s="1"/>
  <c r="E98" i="128" s="1"/>
  <c r="E124" i="128" s="1"/>
  <c r="G86" i="128"/>
  <c r="G87" i="128" s="1"/>
  <c r="G96" i="128" s="1"/>
  <c r="G98" i="128" s="1"/>
  <c r="G124" i="128" s="1"/>
  <c r="H86" i="128"/>
  <c r="H87" i="128" s="1"/>
  <c r="H96" i="128" s="1"/>
  <c r="H98" i="128" s="1"/>
  <c r="H124" i="128" s="1"/>
  <c r="I86" i="128"/>
  <c r="I87" i="128" s="1"/>
  <c r="I96" i="128" s="1"/>
  <c r="I98" i="128" s="1"/>
  <c r="I124" i="128" s="1"/>
  <c r="J86" i="128"/>
  <c r="J87" i="128" s="1"/>
  <c r="J96" i="128" s="1"/>
  <c r="J98" i="128" s="1"/>
  <c r="J124" i="128" s="1"/>
  <c r="L86" i="128"/>
  <c r="L87" i="128" s="1"/>
  <c r="L96" i="128" s="1"/>
  <c r="L98" i="128" s="1"/>
  <c r="L124" i="128" s="1"/>
  <c r="K86" i="128"/>
  <c r="K87" i="128" s="1"/>
  <c r="K96" i="128" s="1"/>
  <c r="K98" i="128" s="1"/>
  <c r="K124" i="128" s="1"/>
  <c r="N86" i="128"/>
  <c r="N87" i="128" s="1"/>
  <c r="N96" i="128" s="1"/>
  <c r="N98" i="128" s="1"/>
  <c r="N124" i="128" s="1"/>
  <c r="M86" i="128"/>
  <c r="M87" i="128" s="1"/>
  <c r="M96" i="128" s="1"/>
  <c r="M98" i="128" s="1"/>
  <c r="M124" i="128" s="1"/>
  <c r="D63" i="119"/>
  <c r="D66" i="119" s="1"/>
  <c r="D122" i="119" s="1"/>
  <c r="C36" i="128"/>
  <c r="D35" i="128"/>
  <c r="D36" i="128" s="1"/>
  <c r="D62" i="128" s="1"/>
  <c r="D65" i="128" s="1"/>
  <c r="D122" i="128" s="1"/>
  <c r="E35" i="128"/>
  <c r="E36" i="128" s="1"/>
  <c r="E62" i="128" s="1"/>
  <c r="E65" i="128" s="1"/>
  <c r="E122" i="128" s="1"/>
  <c r="F35" i="128"/>
  <c r="F36" i="128" s="1"/>
  <c r="F62" i="128" s="1"/>
  <c r="F65" i="128" s="1"/>
  <c r="F122" i="128" s="1"/>
  <c r="G35" i="128"/>
  <c r="G36" i="128" s="1"/>
  <c r="G62" i="128" s="1"/>
  <c r="G65" i="128" s="1"/>
  <c r="G122" i="128" s="1"/>
  <c r="H35" i="128"/>
  <c r="H36" i="128" s="1"/>
  <c r="H62" i="128" s="1"/>
  <c r="H65" i="128" s="1"/>
  <c r="H122" i="128" s="1"/>
  <c r="I35" i="128"/>
  <c r="I36" i="128" s="1"/>
  <c r="I62" i="128" s="1"/>
  <c r="I65" i="128" s="1"/>
  <c r="I122" i="128" s="1"/>
  <c r="J35" i="128"/>
  <c r="J36" i="128" s="1"/>
  <c r="J62" i="128" s="1"/>
  <c r="J65" i="128" s="1"/>
  <c r="J122" i="128" s="1"/>
  <c r="K35" i="128"/>
  <c r="K36" i="128" s="1"/>
  <c r="K62" i="128" s="1"/>
  <c r="K65" i="128" s="1"/>
  <c r="K122" i="128" s="1"/>
  <c r="L35" i="128"/>
  <c r="L36" i="128" s="1"/>
  <c r="L62" i="128" s="1"/>
  <c r="L65" i="128" s="1"/>
  <c r="L122" i="128" s="1"/>
  <c r="M35" i="128"/>
  <c r="M36" i="128" s="1"/>
  <c r="M62" i="128" s="1"/>
  <c r="M65" i="128" s="1"/>
  <c r="M122" i="128" s="1"/>
  <c r="N35" i="128"/>
  <c r="N36" i="128" s="1"/>
  <c r="N62" i="128" s="1"/>
  <c r="N65" i="128" s="1"/>
  <c r="N122" i="128" s="1"/>
  <c r="C76" i="119"/>
  <c r="D87" i="119"/>
  <c r="D88" i="119" s="1"/>
  <c r="D97" i="119" s="1"/>
  <c r="D99" i="119" s="1"/>
  <c r="D124" i="119" s="1"/>
  <c r="D62" i="154" l="1"/>
  <c r="D65" i="154" s="1"/>
  <c r="D122" i="154" s="1"/>
  <c r="E113" i="153"/>
  <c r="E75" i="154"/>
  <c r="E123" i="154" s="1"/>
  <c r="E112" i="153"/>
  <c r="E128" i="153"/>
  <c r="E116" i="153" s="1"/>
  <c r="D113" i="153"/>
  <c r="D116" i="153" s="1"/>
  <c r="E112" i="149"/>
  <c r="E128" i="149"/>
  <c r="E113" i="149"/>
  <c r="D126" i="138"/>
  <c r="D111" i="138"/>
  <c r="D112" i="149"/>
  <c r="D128" i="149"/>
  <c r="D113" i="149"/>
  <c r="E128" i="142"/>
  <c r="E112" i="142"/>
  <c r="E113" i="142"/>
  <c r="D111" i="148"/>
  <c r="D112" i="148" s="1"/>
  <c r="D126" i="148"/>
  <c r="D111" i="147"/>
  <c r="D126" i="147"/>
  <c r="D112" i="142"/>
  <c r="D113" i="142"/>
  <c r="D128" i="142"/>
  <c r="F126" i="128"/>
  <c r="H126" i="128"/>
  <c r="F110" i="128"/>
  <c r="F111" i="128"/>
  <c r="M126" i="128"/>
  <c r="M110" i="128"/>
  <c r="M111" i="128"/>
  <c r="E111" i="128"/>
  <c r="E126" i="128"/>
  <c r="E110" i="128"/>
  <c r="G111" i="128"/>
  <c r="G126" i="128"/>
  <c r="G110" i="128"/>
  <c r="D111" i="128"/>
  <c r="D110" i="128"/>
  <c r="D126" i="128"/>
  <c r="K111" i="128"/>
  <c r="K126" i="128"/>
  <c r="K110" i="128"/>
  <c r="N126" i="128"/>
  <c r="N110" i="128"/>
  <c r="N111" i="128"/>
  <c r="L126" i="128"/>
  <c r="L110" i="128"/>
  <c r="L111" i="128"/>
  <c r="D111" i="119"/>
  <c r="I110" i="128"/>
  <c r="I111" i="128"/>
  <c r="I126" i="128"/>
  <c r="J126" i="128"/>
  <c r="J110" i="128"/>
  <c r="J111" i="128"/>
  <c r="H110" i="128"/>
  <c r="H111" i="128"/>
  <c r="D126" i="119"/>
  <c r="E110" i="154" l="1"/>
  <c r="E126" i="154"/>
  <c r="E111" i="154"/>
  <c r="D126" i="154"/>
  <c r="D111" i="154"/>
  <c r="D110" i="154"/>
  <c r="D114" i="154" s="1"/>
  <c r="E115" i="153"/>
  <c r="E117" i="153"/>
  <c r="D115" i="153"/>
  <c r="D117" i="153"/>
  <c r="E113" i="154"/>
  <c r="E114" i="154"/>
  <c r="E115" i="154"/>
  <c r="D115" i="154"/>
  <c r="D113" i="154"/>
  <c r="D117" i="149"/>
  <c r="D116" i="149"/>
  <c r="D115" i="149"/>
  <c r="D114" i="148"/>
  <c r="D116" i="148"/>
  <c r="D115" i="148"/>
  <c r="D112" i="138"/>
  <c r="D116" i="138" s="1"/>
  <c r="D116" i="142"/>
  <c r="D117" i="142"/>
  <c r="D115" i="142"/>
  <c r="E115" i="149"/>
  <c r="E117" i="149"/>
  <c r="E116" i="149"/>
  <c r="D112" i="147"/>
  <c r="D115" i="147" s="1"/>
  <c r="E115" i="142"/>
  <c r="E117" i="142"/>
  <c r="E116" i="142"/>
  <c r="F113" i="128"/>
  <c r="H114" i="128"/>
  <c r="F115" i="128"/>
  <c r="H115" i="128"/>
  <c r="L115" i="128"/>
  <c r="F114" i="128"/>
  <c r="J113" i="128"/>
  <c r="J114" i="128"/>
  <c r="J115" i="128"/>
  <c r="E113" i="128"/>
  <c r="E115" i="128"/>
  <c r="E114" i="128"/>
  <c r="N113" i="128"/>
  <c r="N114" i="128"/>
  <c r="N115" i="128"/>
  <c r="K115" i="128"/>
  <c r="I115" i="128"/>
  <c r="I114" i="128"/>
  <c r="I113" i="128"/>
  <c r="G115" i="128"/>
  <c r="G113" i="128"/>
  <c r="G114" i="128"/>
  <c r="D114" i="128"/>
  <c r="D115" i="128"/>
  <c r="D112" i="119"/>
  <c r="D114" i="119" s="1"/>
  <c r="K113" i="128"/>
  <c r="K114" i="128"/>
  <c r="M115" i="128"/>
  <c r="M114" i="128"/>
  <c r="M113" i="128"/>
  <c r="L113" i="128"/>
  <c r="L114" i="128"/>
  <c r="H113" i="128"/>
  <c r="D13" i="30"/>
  <c r="D118" i="153" l="1"/>
  <c r="D129" i="153" s="1"/>
  <c r="D130" i="153" s="1"/>
  <c r="F23" i="140" s="1"/>
  <c r="E118" i="153"/>
  <c r="E129" i="153" s="1"/>
  <c r="E130" i="153" s="1"/>
  <c r="F38" i="140" s="1"/>
  <c r="D116" i="154"/>
  <c r="D127" i="154" s="1"/>
  <c r="D128" i="154" s="1"/>
  <c r="F28" i="140" s="1"/>
  <c r="G28" i="140" s="1"/>
  <c r="E116" i="154"/>
  <c r="E127" i="154" s="1"/>
  <c r="E128" i="154" s="1"/>
  <c r="F29" i="140" s="1"/>
  <c r="G29" i="140" s="1"/>
  <c r="E118" i="142"/>
  <c r="E129" i="142" s="1"/>
  <c r="E130" i="142" s="1"/>
  <c r="E138" i="142" s="1"/>
  <c r="D118" i="149"/>
  <c r="D129" i="149" s="1"/>
  <c r="E118" i="149"/>
  <c r="E129" i="149" s="1"/>
  <c r="E130" i="149" s="1"/>
  <c r="E131" i="149" s="1"/>
  <c r="F20" i="140" s="1"/>
  <c r="D114" i="138"/>
  <c r="D117" i="148"/>
  <c r="D127" i="148" s="1"/>
  <c r="D128" i="148" s="1"/>
  <c r="F33" i="140" s="1"/>
  <c r="D115" i="138"/>
  <c r="D118" i="142"/>
  <c r="D129" i="142" s="1"/>
  <c r="D130" i="142" s="1"/>
  <c r="D114" i="147"/>
  <c r="D116" i="147"/>
  <c r="M116" i="128"/>
  <c r="M127" i="128" s="1"/>
  <c r="M128" i="128" s="1"/>
  <c r="F116" i="128"/>
  <c r="F127" i="128" s="1"/>
  <c r="F128" i="128" s="1"/>
  <c r="D116" i="128"/>
  <c r="D127" i="128" s="1"/>
  <c r="D128" i="128" s="1"/>
  <c r="H116" i="128"/>
  <c r="H127" i="128" s="1"/>
  <c r="I116" i="128"/>
  <c r="I127" i="128" s="1"/>
  <c r="I128" i="128" s="1"/>
  <c r="L116" i="128"/>
  <c r="L127" i="128" s="1"/>
  <c r="L128" i="128" s="1"/>
  <c r="L129" i="128" s="1"/>
  <c r="F14" i="140" s="1"/>
  <c r="G14" i="140" s="1"/>
  <c r="E116" i="128"/>
  <c r="E127" i="128" s="1"/>
  <c r="E128" i="128" s="1"/>
  <c r="N116" i="128"/>
  <c r="N127" i="128" s="1"/>
  <c r="N128" i="128" s="1"/>
  <c r="N129" i="128" s="1"/>
  <c r="F16" i="140" s="1"/>
  <c r="G16" i="140" s="1"/>
  <c r="D115" i="119"/>
  <c r="D116" i="119"/>
  <c r="G116" i="128"/>
  <c r="G127" i="128" s="1"/>
  <c r="G128" i="128" s="1"/>
  <c r="J116" i="128"/>
  <c r="J127" i="128" s="1"/>
  <c r="J128" i="128" s="1"/>
  <c r="K116" i="128"/>
  <c r="K127" i="128" s="1"/>
  <c r="K128" i="128" s="1"/>
  <c r="E129" i="128" l="1"/>
  <c r="F25" i="140" s="1"/>
  <c r="G25" i="140" s="1"/>
  <c r="H25" i="140" s="1"/>
  <c r="D129" i="128"/>
  <c r="F24" i="140" s="1"/>
  <c r="G24" i="140" s="1"/>
  <c r="H24" i="140" s="1"/>
  <c r="D138" i="142"/>
  <c r="F35" i="140" s="1"/>
  <c r="G129" i="128"/>
  <c r="F27" i="140" s="1"/>
  <c r="G27" i="140" s="1"/>
  <c r="H27" i="140" s="1"/>
  <c r="M132" i="128"/>
  <c r="F34" i="140" s="1"/>
  <c r="M129" i="128"/>
  <c r="F15" i="140" s="1"/>
  <c r="G15" i="140" s="1"/>
  <c r="K129" i="128"/>
  <c r="F13" i="140" s="1"/>
  <c r="G13" i="140" s="1"/>
  <c r="H13" i="140" s="1"/>
  <c r="I129" i="128"/>
  <c r="F11" i="140" s="1"/>
  <c r="G11" i="140" s="1"/>
  <c r="H11" i="140" s="1"/>
  <c r="G38" i="140"/>
  <c r="H38" i="140" s="1"/>
  <c r="F129" i="128"/>
  <c r="F26" i="140" s="1"/>
  <c r="G26" i="140" s="1"/>
  <c r="H26" i="140" s="1"/>
  <c r="J129" i="128"/>
  <c r="F12" i="140" s="1"/>
  <c r="G12" i="140" s="1"/>
  <c r="H12" i="140" s="1"/>
  <c r="G33" i="140"/>
  <c r="H33" i="140" s="1"/>
  <c r="G23" i="140"/>
  <c r="H23" i="140" s="1"/>
  <c r="G20" i="140"/>
  <c r="H20" i="140" s="1"/>
  <c r="D130" i="149"/>
  <c r="D131" i="149" s="1"/>
  <c r="F19" i="140" s="1"/>
  <c r="H14" i="140"/>
  <c r="H29" i="140"/>
  <c r="H16" i="140"/>
  <c r="E131" i="142"/>
  <c r="F18" i="140" s="1"/>
  <c r="D117" i="119"/>
  <c r="D127" i="119" s="1"/>
  <c r="D128" i="119" s="1"/>
  <c r="D131" i="119" s="1"/>
  <c r="D117" i="138"/>
  <c r="D127" i="138" s="1"/>
  <c r="D128" i="138" s="1"/>
  <c r="F31" i="140" s="1"/>
  <c r="D131" i="142"/>
  <c r="F17" i="140" s="1"/>
  <c r="D117" i="147"/>
  <c r="D127" i="147" s="1"/>
  <c r="H15" i="140"/>
  <c r="H128" i="128"/>
  <c r="H129" i="128" s="1"/>
  <c r="F10" i="140" s="1"/>
  <c r="G10" i="140" s="1"/>
  <c r="G35" i="140" l="1"/>
  <c r="H35" i="140" s="1"/>
  <c r="G34" i="140"/>
  <c r="H34" i="140" s="1"/>
  <c r="G31" i="140"/>
  <c r="H31" i="140" s="1"/>
  <c r="G18" i="140"/>
  <c r="H18" i="140" s="1"/>
  <c r="D128" i="147"/>
  <c r="F30" i="140" s="1"/>
  <c r="G17" i="140"/>
  <c r="H17" i="140" s="1"/>
  <c r="G19" i="140"/>
  <c r="H19" i="140" s="1"/>
  <c r="H29" i="121"/>
  <c r="I29" i="121" s="1"/>
  <c r="I30" i="121" s="1"/>
  <c r="H44" i="121" s="1"/>
  <c r="F8" i="140" s="1"/>
  <c r="G8" i="140" s="1"/>
  <c r="H8" i="140" s="1"/>
  <c r="F32" i="140"/>
  <c r="H10" i="140"/>
  <c r="H5" i="121"/>
  <c r="I5" i="121" s="1"/>
  <c r="H23" i="121"/>
  <c r="I23" i="121" s="1"/>
  <c r="H35" i="121"/>
  <c r="I35" i="121" s="1"/>
  <c r="I36" i="121" s="1"/>
  <c r="H45" i="121" s="1"/>
  <c r="F9" i="140" s="1"/>
  <c r="G9" i="140" s="1"/>
  <c r="H9" i="140" s="1"/>
  <c r="H11" i="121"/>
  <c r="I11" i="121" s="1"/>
  <c r="H17" i="121"/>
  <c r="I17" i="121" s="1"/>
  <c r="I18" i="121" s="1"/>
  <c r="H42" i="121" s="1"/>
  <c r="F6" i="140" s="1"/>
  <c r="G6" i="140" s="1"/>
  <c r="H6" i="140" s="1"/>
  <c r="G30" i="140" l="1"/>
  <c r="H30" i="140" s="1"/>
  <c r="G32" i="140"/>
  <c r="H32" i="140" s="1"/>
  <c r="H28" i="140"/>
  <c r="I24" i="121"/>
  <c r="H43" i="121" s="1"/>
  <c r="F7" i="140" s="1"/>
  <c r="G7" i="140" s="1"/>
  <c r="H7" i="140" s="1"/>
  <c r="I45" i="121"/>
  <c r="I12" i="121"/>
  <c r="I6" i="121"/>
  <c r="H40" i="121" s="1"/>
  <c r="I42" i="121"/>
  <c r="I40" i="121" l="1"/>
  <c r="F4" i="140"/>
  <c r="H41" i="121"/>
  <c r="I44" i="121"/>
  <c r="G4" i="140" l="1"/>
  <c r="H4" i="140" s="1"/>
  <c r="I41" i="121"/>
  <c r="F5" i="140"/>
  <c r="G5" i="140" s="1"/>
  <c r="H5" i="140" s="1"/>
  <c r="I43" i="121"/>
  <c r="H53" i="140" l="1"/>
  <c r="I46" i="121"/>
  <c r="C96" i="30"/>
  <c r="A13" i="30"/>
  <c r="G51" i="140"/>
  <c r="G49" i="140"/>
  <c r="G47" i="140"/>
  <c r="G48" i="140"/>
  <c r="G50" i="140"/>
  <c r="G52" i="140"/>
  <c r="G53" i="140" l="1"/>
</calcChain>
</file>

<file path=xl/sharedStrings.xml><?xml version="1.0" encoding="utf-8"?>
<sst xmlns="http://schemas.openxmlformats.org/spreadsheetml/2006/main" count="3424" uniqueCount="747">
  <si>
    <t>44 Horas</t>
  </si>
  <si>
    <t>PLANILHA DE CUSTOS E FORMAÇÃO DE PREÇOS</t>
  </si>
  <si>
    <t>Discriminação dos Serviços (dados referentes à contratação)</t>
  </si>
  <si>
    <t>A</t>
  </si>
  <si>
    <t>Data da apresentação da proposta (dia/mês/ano)</t>
  </si>
  <si>
    <t>B</t>
  </si>
  <si>
    <t>Município / UF</t>
  </si>
  <si>
    <t>Brasília-DF</t>
  </si>
  <si>
    <t>C</t>
  </si>
  <si>
    <t>Ano Acordo, Convenção ou Sentença Normativa em Dissídio Coletivo</t>
  </si>
  <si>
    <t>D</t>
  </si>
  <si>
    <t>Nº de meses de execução contratual</t>
  </si>
  <si>
    <t>E</t>
  </si>
  <si>
    <t>Média de Dias Trabalhados</t>
  </si>
  <si>
    <t>Dados complementares para composição dos custos referente à mão-de-obra</t>
  </si>
  <si>
    <t>Tipo de serviço</t>
  </si>
  <si>
    <t>Classificação Brasileira de Ocupações (CBO)</t>
  </si>
  <si>
    <t xml:space="preserve">Salário Normativo da Categoria Profissional </t>
  </si>
  <si>
    <t>Data base da categoria</t>
  </si>
  <si>
    <t>Composição da Remuneração</t>
  </si>
  <si>
    <t xml:space="preserve">Salário Base </t>
  </si>
  <si>
    <t>F</t>
  </si>
  <si>
    <t>G</t>
  </si>
  <si>
    <t>Submódulo 2.1 - 13º (décimo terceiro) Salário, Férias e Adicional de Férias</t>
  </si>
  <si>
    <t>2.1</t>
  </si>
  <si>
    <t>13º (décimo terceiro) Salário, Férias e Adicional de Férias</t>
  </si>
  <si>
    <t>13º (décimo terceiro) Salário</t>
  </si>
  <si>
    <t>Férias e Adicional de Férias</t>
  </si>
  <si>
    <t xml:space="preserve">TOTAL </t>
  </si>
  <si>
    <t>Submódulo 2.2 - Encargos Previdenciários (GPS), Fundo de Garantia por Tempo de Serviço (FGTS) e outras contribuições.</t>
  </si>
  <si>
    <t>2.2</t>
  </si>
  <si>
    <t>GPS, FGTS e outras contribuições</t>
  </si>
  <si>
    <t>INSS</t>
  </si>
  <si>
    <t>Salário Educação</t>
  </si>
  <si>
    <t>SAT</t>
  </si>
  <si>
    <t>SESC ou SESI</t>
  </si>
  <si>
    <t>SENAI - SENAC</t>
  </si>
  <si>
    <t>SEBRAE</t>
  </si>
  <si>
    <t>INCRA</t>
  </si>
  <si>
    <t>H</t>
  </si>
  <si>
    <t>FGTS</t>
  </si>
  <si>
    <t>TOTAL</t>
  </si>
  <si>
    <t>Submódulo 2.3 - Benefícios Mensais e Diários.</t>
  </si>
  <si>
    <t>2.3</t>
  </si>
  <si>
    <t>Benefícios Mensais e Diários</t>
  </si>
  <si>
    <t xml:space="preserve">E </t>
  </si>
  <si>
    <t>Quadro-Resumo do Módulo 2 - Encargos e Benefícios anuais, mensais e diários</t>
  </si>
  <si>
    <t>Encargos e Benefícios Anuais, Mensais e Diários</t>
  </si>
  <si>
    <t>TOTAL DE ENCARGOS E BENEFICIOS</t>
  </si>
  <si>
    <t>Módulo 3 - Provisão para Rescisão</t>
  </si>
  <si>
    <t>Provisão para Rescisão</t>
  </si>
  <si>
    <t>Aviso Prévio Indenizado</t>
  </si>
  <si>
    <t>Incidência do FGTS sobre o Aviso Prévio Indenizado</t>
  </si>
  <si>
    <t>Multa do FGTS sobre o Aviso Prévio Indenizado</t>
  </si>
  <si>
    <t>Multa do FGTS sobre o Aviso Prévio Trabalhado</t>
  </si>
  <si>
    <t>Módulo 4 - Custo de Reposição do Profissional Ausente</t>
  </si>
  <si>
    <t>Submódulo 4.1 - Ausências Legais</t>
  </si>
  <si>
    <t>4.1</t>
  </si>
  <si>
    <t>Ausências Legais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</si>
  <si>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</si>
  <si>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</si>
  <si>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</si>
  <si>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</si>
  <si>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</si>
  <si>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 xml:space="preserve">Submódulo 4.2 - Substituto na Intrajornada </t>
  </si>
  <si>
    <t>4.2</t>
  </si>
  <si>
    <t>Intrajornada</t>
  </si>
  <si>
    <t>Substituto na cobertura de Intervalo para repouso ou alimentação</t>
  </si>
  <si>
    <t>Quadro-Resumo do Módulo 4 - Custo de Reposição do Profissional Ausente</t>
  </si>
  <si>
    <t>Custo de Reposição do Profissional Ausente</t>
  </si>
  <si>
    <t>Custos Indiretos, Tributos e Lucro</t>
  </si>
  <si>
    <t>Custos Indiretos</t>
  </si>
  <si>
    <t>Lucro</t>
  </si>
  <si>
    <t>Tributos</t>
  </si>
  <si>
    <t>%</t>
  </si>
  <si>
    <t>TOTAL DOS CUSTOS INDIRETOS, TRIBUTOS E LUCRO</t>
  </si>
  <si>
    <t>QUADRO-RESUMO DO CUSTO POR EMPREGADO</t>
  </si>
  <si>
    <t>Mão de obra vinculada à execução contratual (valor por empregado)</t>
  </si>
  <si>
    <t>Módulo 1 - Composição da Remuneração</t>
  </si>
  <si>
    <t>Módulo 2 - Encargos e Benefícios Anuais, Mensais e Diários</t>
  </si>
  <si>
    <t>Módulo 5 - Insumos Diversos</t>
  </si>
  <si>
    <t>Subtotal (A + B +C+ D+E)</t>
  </si>
  <si>
    <t>Módulo 6 – Custos Indiretos, Tributos e Lucro</t>
  </si>
  <si>
    <t>VALOR TOTAL POR EMPREGADO</t>
  </si>
  <si>
    <t>TOTAL DA REMUNERAÇÃO</t>
  </si>
  <si>
    <t xml:space="preserve">SUBTOTAL </t>
  </si>
  <si>
    <t>Percentual</t>
  </si>
  <si>
    <t>Valor</t>
  </si>
  <si>
    <t>Vale-Transporte</t>
  </si>
  <si>
    <t xml:space="preserve">Auxílio-Alimentação </t>
  </si>
  <si>
    <t>Assistência Odontológica</t>
  </si>
  <si>
    <t>Incid. de GPS, FGTS e outras contribuições sobre o Av. Prévio Trabalhado</t>
  </si>
  <si>
    <t>Insumos Diversos</t>
  </si>
  <si>
    <t>Módulo 1: Composição da Remuneração</t>
  </si>
  <si>
    <t>Módulo 2: Encargos e Benefícios Anuais, Mensais e Diários</t>
  </si>
  <si>
    <t>Módulo 6 - Custos Indiretos, Tributos e Lucro</t>
  </si>
  <si>
    <t>Memória de Calculos e Justificativas</t>
  </si>
  <si>
    <t>Memória de Cálculos do Módulo 01 - Composição da Remuneração</t>
  </si>
  <si>
    <t xml:space="preserve">Memória de Cálculos do Módulo 02 - Encargos e Benefícios Anuais, Mensais e Diários </t>
  </si>
  <si>
    <t>Submódulo 2.1 - 13º Salário e Adicional de Férias</t>
  </si>
  <si>
    <t xml:space="preserve">13º Salário </t>
  </si>
  <si>
    <t>Base de Calculo</t>
  </si>
  <si>
    <t>Memória de Cálculo dos Percentuais</t>
  </si>
  <si>
    <t>Módulo 2</t>
  </si>
  <si>
    <t>Total</t>
  </si>
  <si>
    <t>Somatório de (A+B)</t>
  </si>
  <si>
    <t>Anexo XII da IN Nº 05/2017</t>
  </si>
  <si>
    <t>Submódulo 2.2 - Encargos Previdenciários e FGTS</t>
  </si>
  <si>
    <t>Encargos Previdenciários e FGTS</t>
  </si>
  <si>
    <t>INSS - Art. 22, I, Lei 8.212/91</t>
  </si>
  <si>
    <t>Salário Educação - Art. 8º da Lei 8.029/90 e Lei 8.154/90</t>
  </si>
  <si>
    <t>SESI OU SESC - Art.º 3º, Lei 8.036/90</t>
  </si>
  <si>
    <t>SENAI OU SENAC - Decreto 2.318/86</t>
  </si>
  <si>
    <t>INCRA - Lei 7.787/89 e DL 1.146/70</t>
  </si>
  <si>
    <t>FGTS - Art. 15 da Lei 8.030/90 e Art. 7º, III da CF/88</t>
  </si>
  <si>
    <t>Somatório de (A+B+C+D+E+F+G+H)</t>
  </si>
  <si>
    <t>Submódulo 2.3 Beneficios Mensais e Diarios</t>
  </si>
  <si>
    <t xml:space="preserve">Valor: </t>
  </si>
  <si>
    <t>Memória de Cálculos do Módulo 3 - Provisão para Rescisão</t>
  </si>
  <si>
    <t>Provisões para Rescisão</t>
  </si>
  <si>
    <t>R$</t>
  </si>
  <si>
    <t>Multa sobre FGTS sobre o Aviso Prévio Indenizado</t>
  </si>
  <si>
    <t>Aviso Prévio Trabalhado</t>
  </si>
  <si>
    <t>Incidencia dos encargos do submódulo 2.2 sobre aviso prévio trabalhado</t>
  </si>
  <si>
    <t>Multa sobre FGTS sobre o aviso prévio trabalhado</t>
  </si>
  <si>
    <t>Somatório de (A+B+C+D+E+F)</t>
  </si>
  <si>
    <t xml:space="preserve">Memória de Cálculos do Módulo 4 - Custo de Reposição do Profissional Ausente </t>
  </si>
  <si>
    <t>Ausências legais</t>
  </si>
  <si>
    <t>Base de Cálculo</t>
  </si>
  <si>
    <t>Substituto na Cobertura de Férias</t>
  </si>
  <si>
    <t>Módulo 4</t>
  </si>
  <si>
    <t>Substituto na Cobertura de Ausências Legais</t>
  </si>
  <si>
    <t>Substituto na Cobertura de Licença Paternidade</t>
  </si>
  <si>
    <t>Substituto na Cobertura de Ausências por Acidente de Trabalho</t>
  </si>
  <si>
    <t>Substituto na Cobertura de Afastamento Maternidade</t>
  </si>
  <si>
    <t>TOTAL SUBMÓDULO 4.1</t>
  </si>
  <si>
    <t>Memória de Cálculos do Módulo 06 - Custos Indiretos, Tributos e Lucro</t>
  </si>
  <si>
    <t>CUSTOS INDIRETOS</t>
  </si>
  <si>
    <t>TRIBUTOS</t>
  </si>
  <si>
    <t>a)</t>
  </si>
  <si>
    <t>ISS</t>
  </si>
  <si>
    <t>b)</t>
  </si>
  <si>
    <t>COFINS</t>
  </si>
  <si>
    <t>c)</t>
  </si>
  <si>
    <t>PIS</t>
  </si>
  <si>
    <t>Total tributos</t>
  </si>
  <si>
    <t>LUCRO</t>
  </si>
  <si>
    <t>Escala de Trabalho</t>
  </si>
  <si>
    <t>Item</t>
  </si>
  <si>
    <t>Valor Unitário</t>
  </si>
  <si>
    <t>Valor Total</t>
  </si>
  <si>
    <t>Outros Insumos (Especificar)</t>
  </si>
  <si>
    <t>Adicional de Periculosidade</t>
  </si>
  <si>
    <t>Adicional de Insalubridade</t>
  </si>
  <si>
    <t xml:space="preserve">Adicional Noturno </t>
  </si>
  <si>
    <t>SUBTOTAL</t>
  </si>
  <si>
    <t>Unidade</t>
  </si>
  <si>
    <t>Uniformes e EPIs</t>
  </si>
  <si>
    <t xml:space="preserve">Materiais </t>
  </si>
  <si>
    <t>Equipamentos</t>
  </si>
  <si>
    <t>Incidência do FGTS sobre Aviso Prévio Indenizado</t>
  </si>
  <si>
    <t>Somatóriio de ( A+B+C+D+E+F+G)</t>
  </si>
  <si>
    <t>Assistência Funeral</t>
  </si>
  <si>
    <t>Quatidade de Funcionários a Contratar</t>
  </si>
  <si>
    <t>Qtde. Anual</t>
  </si>
  <si>
    <t>VALOR TOTAL ANUAL</t>
  </si>
  <si>
    <t>VALOR TOTAL MENSAL</t>
  </si>
  <si>
    <t>Uniformes</t>
  </si>
  <si>
    <t xml:space="preserve">Especificações </t>
  </si>
  <si>
    <t xml:space="preserve">Valor Total </t>
  </si>
  <si>
    <t>Conforme Art. 12 da  Lei nº 13.932 de 2019 fica extinta a contribuição social instituída por meio do art. 1º da Lei Complementar nº 110, de 29 de junho de 2001. Conforme Resolução CNJ 169/2013.</t>
  </si>
  <si>
    <t>Nº</t>
  </si>
  <si>
    <t xml:space="preserve">Quantidade </t>
  </si>
  <si>
    <t>EQUIPAMENTOS A SEREM DISPONIBILIZADOS</t>
  </si>
  <si>
    <t xml:space="preserve">Valor Unitário </t>
  </si>
  <si>
    <t xml:space="preserve">Valor Total Mensal </t>
  </si>
  <si>
    <t xml:space="preserve">VALOR MENSAL POR EMPREGADO </t>
  </si>
  <si>
    <t>Unid. de Medida</t>
  </si>
  <si>
    <t xml:space="preserve">Valor  Depreciável </t>
  </si>
  <si>
    <t>Vida Útil (meses)</t>
  </si>
  <si>
    <t>Custo Mensal</t>
  </si>
  <si>
    <t>Total Mensal</t>
  </si>
  <si>
    <t>Pacote</t>
  </si>
  <si>
    <t>Caixa</t>
  </si>
  <si>
    <t>Valor unit. + BDI</t>
  </si>
  <si>
    <t>PLANILHA DE INSUMOS DO SERVIÇO DE LIMPEZA</t>
  </si>
  <si>
    <t>Metro Quadrado</t>
  </si>
  <si>
    <t>Servente de Limpeza</t>
  </si>
  <si>
    <t>Galão</t>
  </si>
  <si>
    <t>Litro</t>
  </si>
  <si>
    <t>CALCULO DO VALOR POR METRO QUADRADO</t>
  </si>
  <si>
    <t>Mão-de-Obra</t>
  </si>
  <si>
    <t>Produtividade (m²)</t>
  </si>
  <si>
    <t>( 1 )</t>
  </si>
  <si>
    <t>( 2 )</t>
  </si>
  <si>
    <t>( 1 ) x ( 2 )</t>
  </si>
  <si>
    <t>Produtividade (1/m²)</t>
  </si>
  <si>
    <t>Preço Homem</t>
  </si>
  <si>
    <t>Valor (m²)</t>
  </si>
  <si>
    <t>Tipo de Área</t>
  </si>
  <si>
    <t>Área (m²)</t>
  </si>
  <si>
    <t>Valor Total Mensal</t>
  </si>
  <si>
    <t>( 3 )</t>
  </si>
  <si>
    <t>Frequência de Horas no Mês 
(16 Horas)</t>
  </si>
  <si>
    <t>Jornada de  Trabalho no Mês ( 1/188,76 )</t>
  </si>
  <si>
    <t>( 4 )</t>
  </si>
  <si>
    <t>( 5 )</t>
  </si>
  <si>
    <t>1 x 2 x 3</t>
  </si>
  <si>
    <t>( 4 ) x ( 5 )</t>
  </si>
  <si>
    <t>RESUMO DO VALOR POR METRO QUADRADO</t>
  </si>
  <si>
    <t>RESUMO DA QUANTIDADE DE FUNCIONÁRIOS A SER CONTRATADO</t>
  </si>
  <si>
    <t>Qtde. de Funcionários</t>
  </si>
  <si>
    <t>Fator Multiplicador</t>
  </si>
  <si>
    <t>QUANTIDADE DE FUNCIONÁRIOS A SER CONTRATADO</t>
  </si>
  <si>
    <t>SOMA</t>
  </si>
  <si>
    <t>ARREDONDADO</t>
  </si>
  <si>
    <t>Adicional de Férias</t>
  </si>
  <si>
    <t>Plano de Saúde</t>
  </si>
  <si>
    <t>Incidência do submódulo 2.2 sobre 13º Salário e Adicional de Férias</t>
  </si>
  <si>
    <t>Incidência do submódulo 2.2 sobre Ausências Legais</t>
  </si>
  <si>
    <t>Serviço de Limpeza - Edifício Inácio de Lima Ferreira - Área Interna</t>
  </si>
  <si>
    <t>Sala do SCS, Ed. Central</t>
  </si>
  <si>
    <t>Encarregado</t>
  </si>
  <si>
    <t>Recepcionista</t>
  </si>
  <si>
    <t>Porteiro 12x36 - Diurno</t>
  </si>
  <si>
    <t>Porteiro 12x36 - Noturno</t>
  </si>
  <si>
    <t>Garagista 12x36 - Diurno</t>
  </si>
  <si>
    <t>Copeira</t>
  </si>
  <si>
    <t>Garçom</t>
  </si>
  <si>
    <t>Intervalo Intrajornada</t>
  </si>
  <si>
    <t>Piscineiro</t>
  </si>
  <si>
    <t>Carregador</t>
  </si>
  <si>
    <t>Água sanitária
Água sanitária, composição química hipoclorito de sódio, hidróxido de sódio, cloreto, teor cloro ativo varia de 2 a 2,50%, classe corrosivo classe 8, númsaúde 3, corrosividade 1, peso molecular cloro 74,50, densidade de 1,20 a 1 g/l, cor amarela esverdeada bastante fraca, aplicação lavagem e alvejante depias. Embalagem de 1 litro</t>
  </si>
  <si>
    <t>Álcool liquido 70º
Álcool etílico, tipo hidratado, teor 70% (70° GL), apresentação líquido, frasco com 1 litro
Marca de referência: Zulu, mazzo, Itaja ou similar superior</t>
  </si>
  <si>
    <t>Álcool gel antisséptico
Álcool etílico hidratado em gel, mínimo de 70° INPM, não aromatizado, límpido, transparente e isento de resíduos. O produto deverá garantir que ao uso a"pegajosas" Refil 800 ml</t>
  </si>
  <si>
    <t>Balde plástico 12 litros
Balde, material plástico, material alça arame galvanizado, capacidade 10 L, cor preta, características adicionais reforço fundo e borda</t>
  </si>
  <si>
    <t>Cloro para limpeza de espelho d'água
Cloro granulado para limpeza do espelho d'água, embalagem 18 litros
Marca de referência: Genco, HTH ou similar superior</t>
  </si>
  <si>
    <t>Desinfetante Concentrado
Desinfetante com ação germicida e bactericida perfumado, com aroma variado, concentrado, embalagem 5 litros sem aditivo de sabão, puro</t>
  </si>
  <si>
    <t>Detergente neutro concentrado
Detergente líquido, neutro, transparente, translúcido; composição: linear alquil benzeno sulfonato de sódio, sequestrante e tensoativo bioddermatologicamente; frasco com 500 ml, densidade mínima de 490g/500ml. Deve constar no rótulo: nº do registro na ANVISA/MS, CNPJ da empresaresponsável, validade, endereço e telefone para contato. Data de fabricação e lote impressos no frasco. Validade mínima de 24 meses
Marca/Fabricante de referência: Ypê, limpol, minuano, similar ou superi</t>
  </si>
  <si>
    <t>Escova manual de nylon</t>
  </si>
  <si>
    <t>Esponja dupla face
Esponja de limpeza dupla-face nas cores verde e amarela, sendo uma face abrasiva (fibraço) e outra macia (espuma), medindo 110 x 75 x 20 mm</t>
  </si>
  <si>
    <t>Limpa vidro
Limpa-vidro instantâneo 500ml especificação: aspecto físico líquido; composição: tensos ativos aniônicos, solventes, solubilizantes, essência, coadjuvantes</t>
  </si>
  <si>
    <t>Limpa Pedra
Limpador de superfícies minerais e desincrustante ácido, com ação decapante, para remoção de manchas e sujeiras impregnadas. Para pisos rústicos, eMarca de referência: concetrax, pedrex, bellinzoni ou similar. Galão de 5 litros</t>
  </si>
  <si>
    <t>Limpador multiuso
Limpador multiuso, líquido, neutro ou com aroma suave; composição: alquil benzeno sulfonato de sódio, lauramina óxida, alcalinizante; coadjuvante, coresponsável, validade, endereço aditivo, agente de controle de pH, fragrância e veículo; frasco com 500 ml. Validade mínima de 24 meses
Marca/Fabricante de referência: Minuano, Ypê, Veja ou similar superior</t>
  </si>
  <si>
    <t>Luva de borracha
Luva borracha de punho 07, material látex natural, tamanho médio, cor amarela, características adicionais palma antiderrapante, aveludada, interior liso euso multiuso</t>
  </si>
  <si>
    <t>Pano em algodão para limpeza de chão
Pano limpeza, material 100% algodão, comprimento 64 cm, largura 45 cm, características adicionais alvejado, aplicação uso geral, cor branca, tipo saco</t>
  </si>
  <si>
    <t>Papel higiênico
Papel higiênico, tipo cai cai, folha dupla, de 1ª qualidade, pacote com 8000 folhas, cor branca. Marca de referência: Milli ou similar superior</t>
  </si>
  <si>
    <t>Pasta saponácea 500g</t>
  </si>
  <si>
    <t>Rodo de 60 cm
Rodo, material cabo madeira, material suporte plástico, comprimento suporte 60 cm, quantidade borrachas 2 un. características adicionas: cabo rosqueadode 1,20 m</t>
  </si>
  <si>
    <t>Sabão em barra
Sabão glicerinado, neutro, em barra de 200 g cada; embalados em pacotes com 5 unidades cada. Validade mínima de 24 meses</t>
  </si>
  <si>
    <t>Sabonete cremoso ph neutro
Sabonete líquido para lavagem de mãos, perfumado, aplicação em dispenser de parede, essência erva doce, flores ou similar - Refil de 800 ml</t>
  </si>
  <si>
    <t>Saco higiênico para absorvente</t>
  </si>
  <si>
    <t>Saco para lixo de 20 litros
Saco de lixo 20 litros em polietileno. Embalagem com Unidades picotadas ou individualizadas, em cor preta. Fardo com 100 unid</t>
  </si>
  <si>
    <t>Tela odorizadora para mictório</t>
  </si>
  <si>
    <t>Vaselina liquida 1 litro</t>
  </si>
  <si>
    <t>Dispenser para refil de sabonete líquido 800 ml branco</t>
  </si>
  <si>
    <t>Kit limpa vidro com cabo extensor</t>
  </si>
  <si>
    <t>Kit Mop úmido com cabo com 60 cm</t>
  </si>
  <si>
    <t>Kit Mop pó com cabo, cabo com 60 cm</t>
  </si>
  <si>
    <t>Dispenser automático para odorizador de ambiente de 250 ml</t>
  </si>
  <si>
    <t>Dispenser para papel higiênico interfolheado cai-cai</t>
  </si>
  <si>
    <t>Refil para filtro, compatível para purificador de água da marca IBBL, FR 600</t>
  </si>
  <si>
    <t>Detergente lava louças
Detergente, composição detergente concentrado, carbonato de sódio, polia-, aplicação máquina lavar louça, características adicionais sólido - galão 5 litros</t>
  </si>
  <si>
    <t>Borrifador - Borrifador plástico 500 ml</t>
  </si>
  <si>
    <t>Açúcar Cristal 5 kg</t>
  </si>
  <si>
    <t>Copos para café
Copo para café em material descartável, biodegradável em polipropileno (PP), não tóxico, de 50 ml, transparente , corpo frisado, bordas arredondtelescopamento, com gravação indelével no corpo do copo da marca do fabricante e peso mínimo de 0,75 g
O produto deverá estar de acordo com a norma ABNT NBR 14865:2012
Acondicionamento em sacos plásticos, lacrados, contendo 100 unidades cada um, fornecidos em caixa com 5000 unidades
Marca/Fabricante de referência: Altacopo, COPOBRAS CFB-050 ou similar</t>
  </si>
  <si>
    <t>Copo para água
Copo de vidro, tipo long drink cilíndrico, liso, vidro cristal incolor com espessura de aproximadamente 2 mm, capacidade 300 ml, com bordas arredondadas</t>
  </si>
  <si>
    <t>Colher para café
Colher para café, totalmente fabricada em aço inoxidável, corpo sem emendas, medindo aproximadamente 10 cm de comprimento e 1,5 cm de largura (variação no tamanho) Espessura do aço mínima de 1 mm
Marca de referência: brinox</t>
  </si>
  <si>
    <t>Colher para chá
Colher para chá, totalmente fabricada em aço inoxidável, medindo aproximadamente 13 cm de comprimento e 2 cm de largura (admitindo-se até 10% despessura do aço mínima de 1 mm
Marca de referência: brinox</t>
  </si>
  <si>
    <t>Coador de café para maquina industrial
Coador para máquina industrial de café, fabricado em flanela branca, 100% algodão, sem armação e sem cabo, com cordão de amarração da boca, costura d</t>
  </si>
  <si>
    <t>Pano de prato
Pano de prato (pano de copa) 70 cm x 50 cm: branco, fabricado em tecido 100% algodão de alta absorção, medindo aproximadamente 700 mm x 500 mm podendo variar para maior em até 100 mm do tamanho, liso ou com detalhes discretos nas bordas</t>
  </si>
  <si>
    <t>Xícara para chá
Xícara para chá, com pires, fabricada em porcelana na cor branca, acabamento esmaltado livre de deformações geométricas, bolhas ou riscos, em formaarredondadas de acabamento anticortante, capacidade de aproximadamente 200 ml, medindo aproximadamente 80 mm x 60 mm (diâmetro x altura)</t>
  </si>
  <si>
    <t>Frasco</t>
  </si>
  <si>
    <t>Refil</t>
  </si>
  <si>
    <t>Peça</t>
  </si>
  <si>
    <t xml:space="preserve">Qtde. Mensal </t>
  </si>
  <si>
    <t>Par</t>
  </si>
  <si>
    <t>Fardo</t>
  </si>
  <si>
    <t>Saco</t>
  </si>
  <si>
    <t>UNIFORMES - JARDINEIRO E PISCINEIRO</t>
  </si>
  <si>
    <t>CALÇA - Calça comprida, tipo jeans</t>
  </si>
  <si>
    <t>CAMISA - Camiseta de malha fria PV, com gola polo e mangas curtas com emblema da empresa.</t>
  </si>
  <si>
    <t>CAMISA CURTA - Camisa em malha de manga curta, com a logomarca da empresa visível.</t>
  </si>
  <si>
    <t>CAMISA - Camiseta malha fria PV, manga longa com punho, gola V e emblema da empresa</t>
  </si>
  <si>
    <t>Equipamentos de Limpeza</t>
  </si>
  <si>
    <t>Aspirador de pó sólido/líquido, potência 2400W, tanque de aço inox 80 litros.</t>
  </si>
  <si>
    <t>Conjunto filtro bomba e areia para piscina com bomba de 1/3 Cv, monofásica 220V.</t>
  </si>
  <si>
    <t>Enceradeira industrial, diâmetro do disco 510mm, 220V.</t>
  </si>
  <si>
    <t>Lavadora de alta pressão 1.600 libras, 220V.</t>
  </si>
  <si>
    <t>Carro limpeza funcional.</t>
  </si>
  <si>
    <t>Relógio Biométrico.</t>
  </si>
  <si>
    <t>Extratora Carpete e Estofado Profissional.</t>
  </si>
  <si>
    <t>Placa em polipropileno com a inscrição “Piso Molhado”.</t>
  </si>
  <si>
    <t>Roçadeira Lateral Elétrica, potência 1.200W com lâmina.</t>
  </si>
  <si>
    <t>Ancinho reforçado com cabo de madeira.</t>
  </si>
  <si>
    <t>Cavadeira articulada com cabo de madeira.</t>
  </si>
  <si>
    <t>Enxada 2,5 libras com cabo de madeira.</t>
  </si>
  <si>
    <t>Foice roçadeira com cabo de madeira.</t>
  </si>
  <si>
    <t>Lima chata para enxada.</t>
  </si>
  <si>
    <t>Pá de bico com cabo de madeira.</t>
  </si>
  <si>
    <t>Rastelo em metal mínimo 22 dentes com cabo.</t>
  </si>
  <si>
    <t>Equipamentos de Jardinagem</t>
  </si>
  <si>
    <t>Equipamentos de Garçonaria</t>
  </si>
  <si>
    <t>Equipamentos de Encarregado</t>
  </si>
  <si>
    <t>Conforme Súmula nº 305 do TST e o Acórdão TCU nº 2.217/2010 - Plenário. Formula: (8x0,42)/100 onde: 8 é o percentual de FGTS e 0,42 Aviso Previo Indenizado</t>
  </si>
  <si>
    <t>LDI DO MATERIAL</t>
  </si>
  <si>
    <t>TOTAL DO LDI</t>
  </si>
  <si>
    <t>Jardineiro</t>
  </si>
  <si>
    <t>Grupo</t>
  </si>
  <si>
    <t>Descrição</t>
  </si>
  <si>
    <t>Limpeza e Conservação</t>
  </si>
  <si>
    <t>Prestação de Serviços de Limpeza e Conservação - Edifício sede - área interna</t>
  </si>
  <si>
    <t>Prestação de Serviços de Limpeza e Conservação - Edifício sede - área externa</t>
  </si>
  <si>
    <t>Prestação de Serviços de Limpeza e Conservação - Edifício sede - Área Esquadria Externa/Interna sem Risco</t>
  </si>
  <si>
    <t>Serviço de Limpeza - Edifício Inácio de Lima Ferreira - Área externa</t>
  </si>
  <si>
    <t>Vigilância Armada</t>
  </si>
  <si>
    <t>Vigilância armada diurna</t>
  </si>
  <si>
    <t>Vigilância armada noturna</t>
  </si>
  <si>
    <t>Vigilância armada diurna - hora extra</t>
  </si>
  <si>
    <t>Vigilância armada noturna - hora extra</t>
  </si>
  <si>
    <t>Gestão</t>
  </si>
  <si>
    <t>m²</t>
  </si>
  <si>
    <t>posto</t>
  </si>
  <si>
    <t>diária</t>
  </si>
  <si>
    <t>h</t>
  </si>
  <si>
    <t>Brigada de Incêndio</t>
  </si>
  <si>
    <t>Gestor de facilities</t>
  </si>
  <si>
    <t>Encarregado de segurança</t>
  </si>
  <si>
    <t>Carregador de móveis</t>
  </si>
  <si>
    <t>Servente</t>
  </si>
  <si>
    <t>Bombeiro civil diurno</t>
  </si>
  <si>
    <t>Bombeiro civil noturno</t>
  </si>
  <si>
    <t>Serviços de chaveiro</t>
  </si>
  <si>
    <t>Serviços de lavanderia</t>
  </si>
  <si>
    <t>Serviços de conserto de equipamentos de copa/cozinha</t>
  </si>
  <si>
    <t>Serviço de dedetização</t>
  </si>
  <si>
    <t xml:space="preserve">Marceneiro </t>
  </si>
  <si>
    <t>Mão de Obra 
sob demanda</t>
  </si>
  <si>
    <t>Operação</t>
  </si>
  <si>
    <t>Material/Produtos de limpeza</t>
  </si>
  <si>
    <t>Material/Produtos de copa e cozinha</t>
  </si>
  <si>
    <t>Material/Produtos de jardinagem e piscina</t>
  </si>
  <si>
    <t>Valor mensal</t>
  </si>
  <si>
    <t>-</t>
  </si>
  <si>
    <t xml:space="preserve">Qtde. 12 Meses </t>
  </si>
  <si>
    <t xml:space="preserve">Valor Total Anual </t>
  </si>
  <si>
    <t>VALOR TOTAL PARA 12 MESES</t>
  </si>
  <si>
    <t>Serviços de fornecimento, reparo e higienização de persianas</t>
  </si>
  <si>
    <t>Edifício Francisco Saturnino de Brito Filho - Sede do Confea (SEPN 508, Bloco A)</t>
  </si>
  <si>
    <t>Edifício Inácio de Lima Ferreira - (SEPN 516, bloco A)</t>
  </si>
  <si>
    <t>Persiana horizontal em alumínio, 16 mm, branca ou cinza - fornecimento e colocação</t>
  </si>
  <si>
    <t>Persiana roller, tela solar 5% screen, peça inteira, com suporte e bandô- fornecimento e colocação</t>
  </si>
  <si>
    <t>Limpeza e higienização de Persiana roller, tela solar;</t>
  </si>
  <si>
    <t>Reparos diversos sob demanda e em caso de ocorrências</t>
  </si>
  <si>
    <t>UNIFORMES</t>
  </si>
  <si>
    <t>aplicação</t>
  </si>
  <si>
    <t>Cópia de chave simples;</t>
  </si>
  <si>
    <t>Abertura de fechadura de porta e móvel;</t>
  </si>
  <si>
    <t>Conserto de fechadura de móvel (armário, gaveteiro,etc);</t>
  </si>
  <si>
    <t>Fornecimento e instalação de fechadura em móvel (armário, gaveteiro);</t>
  </si>
  <si>
    <t>Fornecimento cadeado latonado 30mm;</t>
  </si>
  <si>
    <t>Fornecimento cadeado latonado 50mm;</t>
  </si>
  <si>
    <t>diaria</t>
  </si>
  <si>
    <t>Serviço de manutenção e higienização de cadeiras e estofados</t>
  </si>
  <si>
    <t>unid</t>
  </si>
  <si>
    <t>UNIFORMES - VIGILANTE</t>
  </si>
  <si>
    <t>UNIFORMES - BRIGADISTA</t>
  </si>
  <si>
    <t>EQUIPAMENTOS</t>
  </si>
  <si>
    <t>Equipamentos VIGILANTE</t>
  </si>
  <si>
    <t>Equipamentos BRIGADA</t>
  </si>
  <si>
    <t>EPI/EPC</t>
  </si>
  <si>
    <t>00.005720/2024-47</t>
  </si>
  <si>
    <t>Seguro Acidente de Trabalho / SAT / INSS</t>
  </si>
  <si>
    <t xml:space="preserve">[(1/12)x100]
Art. 7º, VIII, CF/88; Lei 4090/62; Lei 4749/62 e Decreto 57155/65.                               </t>
  </si>
  <si>
    <t xml:space="preserve">[(1/3) /12)]
Conforme art 7º , XVII da CF/88: arts 129 a 153 da CLT. </t>
  </si>
  <si>
    <t>Art 195, I, a, CF/88; Art. 22, Inciso I, da Lei nº 8.212/91</t>
  </si>
  <si>
    <t>Art. 212, §5º, CF/88; Lei 9766/98; Decreto-lei 1422/75; Lei 9766/98; Decreto 6003/2006</t>
  </si>
  <si>
    <t>Art. 30, Lei n.º 8.036/90, c/c art. 1º, Lei 8.154/90; Decreto-lei 2.318/86</t>
  </si>
  <si>
    <t>Decreto nº 2.318/86, c/c art. 1º, Lei 8.154/90</t>
  </si>
  <si>
    <t>Art. 8º, Lei nº 8.029/90 e Lei nº 8.154/90.</t>
  </si>
  <si>
    <t>Lei 2613/55; Art 1º, I, DL n.º 1.146/70.</t>
  </si>
  <si>
    <t>Art. 15, Lei nº 8.030/90 e Art. 7º, III, CF/88.</t>
  </si>
  <si>
    <t>art. 22, II, Lei 8.212/90, c/c o art 10, Lei 10666/2003; art 202-A do RPS
RAT ajustado = RAT x FAP
RAT: Conforme Anexo V - RPS (regulamento de previdencia social) - Decreto 10410_2020
FAP conforme Lei 10666 de 2023 - varia entre 0,50 a 2</t>
  </si>
  <si>
    <t>Adotado -  CNAE 2.3 8111-7/00: Serviços combinados para apoio a edifícios, exceto condomínios prediais – alíquota 3%
https://www.planalto.gov.br/ccivil_03/decreto/D3048anexov-vol1.htm
FAP adotado -  2,00, de modo a contemplar o custo máximo possível</t>
  </si>
  <si>
    <t>CCT Seac x Sindiserviços</t>
  </si>
  <si>
    <t>CCT Seac x Sindibombeiros</t>
  </si>
  <si>
    <t>{[(1/30)/12]x 7x100}
Art. 7º, XXI, CF/88; art 487 e 488 da CL; Lei 12506/211
O empregado poderá, com base na legislação, faltar ao serviço durante 7 dias</t>
  </si>
  <si>
    <t>(1/12) x 0,10
Estimativa adotada de 10% dos empregados do contrato poderão ser demitidos sem cumprimento do aviso prévio (probabilidade de ocorrência).
Estabelecido no ACT vigente Art. 7º, XXI, CF/88, 477, 487 e 491 CLT.</t>
  </si>
  <si>
    <t>Processo</t>
  </si>
  <si>
    <t>Pregão Eletrônico nº</t>
  </si>
  <si>
    <t>(remuneração+13º+adicional de férias) x 0,80 x 0,40 x 0,10
Art 18, 1º, lei 8036/1990
A ser aplicado sobre a remuneração + submodulo 2.1
8% FGTS mensal
40 % multa sobre os depósitos
10% probabilidade de ocorrência</t>
  </si>
  <si>
    <t>Art 18, 1º, lei 8036/1990
A ser aplicado sobre a remuneração + submodulo 2.1
8% FGTS mensal
40% multa sobre os depósitos</t>
  </si>
  <si>
    <t>(1/12)x 100
Conforme art 7º , XVII da CF/88: arts 129 a 153 da CLT</t>
  </si>
  <si>
    <t>[(1/30)*5/12]
Art 473, CLT
Não tem índice estabelecido. Estimativa de 5 (cinco) ausências por ano.</t>
  </si>
  <si>
    <t>Formula: ((5/30)/12 x 0,05 x 100)
Onde: 0,05 corresponde ao percentual de ocorrências
Art 473, III, CLT, c/c Art. 7º, XIX, CF/88 e art 10, § 1º, II, ADCT, CF/88.
Estimativa de 5% dos funcionários usufruindo 5 (cinco) dias da licença por ano.</t>
  </si>
  <si>
    <t>[(1/30)x3]/12]
Art. 19 a 23 e 60 da Lei n.º 8.213/91, c/c art 75, RPS.
Estimativa de 3 faltas no ano por motivo de doença acidentária ou acidente de trabalho</t>
  </si>
  <si>
    <t>[((1+1/3)x(4/12))/12]*1%
Art. 7º, XVIII, CF/88, c/c o art. 392 e 392-A da CLT.
Probabilidade de ocorrência de 1%</t>
  </si>
  <si>
    <t>CAMISA SOCIAL
Masculino: Confeccionada em tecido, gola com entretela,  mangas longas e fechamento com botões.
Feminino: Confeccionada em tecido, gola com entretela, mangas curtas</t>
  </si>
  <si>
    <t>GRAVATA / LENÇO (ou echarpes)
Em tecido 100% poliéster ou seda, de boa qualidade/em crepe, tipo laço com entretela compatível com o modelo, na cor preta, de boa qualidade</t>
  </si>
  <si>
    <t>CALÇA E PALETÓ
Calça na cor preta, em tecido tipo microfibra, com paletó forrado internamente, emblema da empresa bordado no lado superior esquerdo, cor escura e paletó tipo social.</t>
  </si>
  <si>
    <t>CINTO
Cinto social de couro da mesma cor do calçado.</t>
  </si>
  <si>
    <t>Camisa em tecido nas cores do padrão de uso da empresa, manga curta, abertura frontal, com botões e bolsos sobrepostos.</t>
  </si>
  <si>
    <t>Japona em couro para uso em dias frio</t>
  </si>
  <si>
    <t>Par de Meia - em cores escuras combinando com uniforme</t>
  </si>
  <si>
    <t>PAR DE MEIAS - Meia em algodão, de boa qualidade, tipo soquete.</t>
  </si>
  <si>
    <t>PAR DE MEIAS - Meia, em algodão, tipo soquete.</t>
  </si>
  <si>
    <t>PAR DE MEIAS
Meia social, em algodão, na mesma cor do calçado e boa qualidade. Marca de referência: Lupo ou similar</t>
  </si>
  <si>
    <t>SAPATOS - Botina em couro, de solado liso e antiderrapante, com palmilha antibacteriana e bico de aço. Unid: par</t>
  </si>
  <si>
    <t>Coturno, meio couro e meio lona, leve, com zíper, preto. Unid: par</t>
  </si>
  <si>
    <t>BOTA ou BOTINA - Calçado preto, botina ou bota (o que for indicado de acordo com as normas de segurança do trabalho), com biqueira em aço. Unid: par</t>
  </si>
  <si>
    <t>SAPATOS
Masculino: sapato tipo esporte fino, com cadarço, de couro, solado de borracha, cor preto de boa qualidade.
Feminino: sapato, na cor Preta, de boa qualidade, forro e palmilha em couro e solado de borracha e salto de 3cm flexível, de couro, tipo scarpin ou estilo boneca. Marca de referência: Picadilly, Beira Rio, Dakota ou similar. Unid: par</t>
  </si>
  <si>
    <t>Revólver calibre 38</t>
  </si>
  <si>
    <t>Cinto com coldre e baleiro</t>
  </si>
  <si>
    <t>Cassetete</t>
  </si>
  <si>
    <t>Apito de metal com cordão</t>
  </si>
  <si>
    <t>Lanterna recarregável</t>
  </si>
  <si>
    <t>Colete balístico</t>
  </si>
  <si>
    <t>Arma não letal</t>
  </si>
  <si>
    <t>Computador completo, i5, Memória de 8GB, Disco Rígido tipo SSD de no mínimo 240GB para instalação de sistema operacional; Monitor 23 Polegadas, Teclado ABNT; Mouse Óptico;
Possuir Software de Gestão conforme edital</t>
  </si>
  <si>
    <t>Camiseta em algodão gola oval</t>
  </si>
  <si>
    <t>Calça em tecido Rip Stop anti chamas</t>
  </si>
  <si>
    <t>Gandola em tecido Rip Stop (anti-chamas)</t>
  </si>
  <si>
    <t>Japona em tecido Rip Stop</t>
  </si>
  <si>
    <t>Cinto padrão</t>
  </si>
  <si>
    <t>Par de luvas em vaqueta com elástico de ajuste embutido</t>
  </si>
  <si>
    <t>Coturno - deverá ser em couro nobuk hidrofugado, tecido sintético, colarinho e língua em couro vestuário com cordura água repelente, em tecido poliéster 100% impermeável. Forração Interna: com rápida dispersão de umidade. Solado: plano em borracha e plataforma de EVA, com isolamento térmico e elétrico e com certificado de aprovação do Ministério  do Trabalho e do Empregado (C.A). Unid: par</t>
  </si>
  <si>
    <t>Meias táticas de alta performance Thermo Dry, tipo cano longo, Composição: Algodão (61%), Poliamida (26%), Poliéster 08%, outras fibras (05%). Unid: par</t>
  </si>
  <si>
    <t>Aparelho de respiração autônomo, para uso profissional, com capacidade de tempo de uso mínima de 50 minutos.</t>
  </si>
  <si>
    <t>Cabo para resgate com 100 metros de comprimento.</t>
  </si>
  <si>
    <t>Cabos de vida com 4,5 m de comprimento.</t>
  </si>
  <si>
    <t>Capa de chuva plástica, impermeável, em PVC forrado ou forro em trevira, na cor laranja, com capuz e manga comum e comprimento abaixo dos joelhos, com faixa refletiva na altura das costas, tórax e punhos.</t>
  </si>
  <si>
    <t>Capacete em fibra de vidro.</t>
  </si>
  <si>
    <t>Escada em fibra de vidro ou em alumínio, com pé e 6 (seis) degraus emborrachados.</t>
  </si>
  <si>
    <t>Lanterna de mão tipo farolete com capacidade de luminosidade de 500.000 velas, com recarregador e transformador bivolt automático.</t>
  </si>
  <si>
    <t>Luvas de alta tensão.</t>
  </si>
  <si>
    <t>Máscara, tipo uso:reutilizável, finalidade:odores, poluição, germes, bactérias, tipo correia:ajustável ao rosto, tamanho:único, características adicionais:com 2 filtros laterais substituíveis</t>
  </si>
  <si>
    <t>Megafone com potência regulável, alcance de 1km em zona rural e 500 m em zona urbana, autonomia de 15 horas.</t>
  </si>
  <si>
    <t>Mosquetão simétrico confeccionado em aço de alta resistência, com trava em rosca e capacidade mínima de ruptura de 3.000 kg.</t>
  </si>
  <si>
    <t>Óculos de proteção individual para operações de trabalho sujeitas a particulas e poeiras como, atendimento emergencial, lixamento, pintura, serralheria, corte de metais</t>
  </si>
  <si>
    <t>Aparelho de pressão digital, com inflagem manual, indicação para pressão arterial e batimentos cardíacos, com bateria sobressalente.</t>
  </si>
  <si>
    <t>Estetoscópio para auscultação, olivas em plás􀆟co resistente, com acabamento sem rebarbas, conjunto biauricular em metal cromado, resistente e flexível, na curvatura do tubo em "Y".</t>
  </si>
  <si>
    <t>Cadeira de rodas adulto em alumínio, com pintura eletrostá􀆟ca; dobrável em “x”; sistema de duplo “x”; encosto padrão em nylon reforçado; assento em nylon reforçado com velcro para fixação da almofada; acompanha almofada com capa removível e fechamento em zíper, em espuma de alta densidade com 3cm de altura, forrada em nylon e com velcro para fixação no assento; faixa de panturrilha; braços escamoteáveis; rodas traseiras removíveis de 24’’ e com aros de propulsão e pneus infláveis; rodas dianteiras de 6’’ com aros de propulsão e pneus infláveis.</t>
  </si>
  <si>
    <t>Lanterna halógena clínica com lente pré-focada com campo de iluminação claro para avaliar pupilas.</t>
  </si>
  <si>
    <t>Prancha de compensado naval rígido de 15 mm de espessura mínima, com acabamento em verniz medindo 1,75 a 1,80 m x 45 a 47cm, com três tirantes de 3 metros, para imobilização do tórax, abdome e das pernas, com fivelas de soltura rápida; velcro com largura mínima de 5 cm, acompanhando a prancha, dotada de suporte para imobilização da cabeça, em velcro.</t>
  </si>
  <si>
    <t>Termômetro clínico digital, com “beep” sonoro, visor grande, desligamento automático.</t>
  </si>
  <si>
    <t>Aparelho de comunicação por rádio ou telefone celular</t>
  </si>
  <si>
    <t>MATERIAIS DE SALVAMENTO</t>
  </si>
  <si>
    <t>Álcool etilico a 70% P/V, para superficies fixas, an􀆟ssepsia da pele em procedimentos de médio e baixo risco, com validade de 24 meses, apresentação em frasco de 1000 ml.</t>
  </si>
  <si>
    <t>Atadura de crepe, de 6 cm x 3 m, 10 cm x 4,5 m, 15 cm x 4,5 m, cor natural, com 13 fios, constituído de fios de algodão cru, bordas devidamente acabadas, elas􀆟cidade adequada, uniformemente enroladas.</t>
  </si>
  <si>
    <t>Atadura elástica de 10 cm x 4,5 m, com acabamento especial para aumento da durabilidade, da pressão do enfaixamento, com ótimo nível de estiramento.</t>
  </si>
  <si>
    <t>Colar cervical, confeccionado em polipropileno, sem emendas, nem presença de metais condutivos, apresentando baixo peso e propriedade radioluminescentes, suporte adaptável a qualquer forma e tamanho de mandíbula, com aberturas laterais.</t>
  </si>
  <si>
    <t>Colete Imobilizador Cervical (tipo Ked), em material tipo nylon, que ofereça imobilização total, desde a cabeça até a região da cintura pélvica, devendo ter 3 tiColar cervical, confeccionado em polipropileno, sem emendas, nem presença de metais condutivos, apresentando baixo peso e propriedade radioluminescentes, suporte adaptável a qualquer forma e tamanho de mandíbula, com aberturas laterais.rantes em cores diferentes (verde, amarela e vermelha) para imobilização do tórax, e 2 para fixação da testa e queixo.</t>
  </si>
  <si>
    <t>Esparadrapo impermeável, confeccionado em tecido apropriado, cor branca, medindo 2,5 cm x 4,5 m, com flexibilidade suficiente para adaptar-se às dobras da pele sem que ocorra excessiva pressão ou fácil desprendimento, remoção sem deixar resíduos ou manchas na super􀄰cie, enrolado em carretel plástico.</t>
  </si>
  <si>
    <t>Gaze esterilizada, medindo 7,5 x 7,5 cm, 13 fios, com 8 dobras, confeccionada com fios 100% algodão hidrófilo, em pacote com 10 unidades.</t>
  </si>
  <si>
    <t>Pomadas para torção em tubo 100 gramas.</t>
  </si>
  <si>
    <t>Soro fisiológico de 0,9%, em embalagem plás􀆟ca de 500 ml</t>
  </si>
  <si>
    <t>Devido a tributação da futura contratada. Deverá ser comprovado junto com a proposta mediante apresentação de documentos. Adotamos valores referenciais e estimativos</t>
  </si>
  <si>
    <t>Caderno de Logística - https://www.gov.br/compras/pt-br/agente-publico/cadernos-de-logistica/midia/servicos_limpeza.pdf</t>
  </si>
  <si>
    <t>C.1. Tributos Federais (PIS)</t>
  </si>
  <si>
    <t>C.1. Tributos Federais (COFINS)</t>
  </si>
  <si>
    <t>C.3. Tributos Municipais (ISS)</t>
  </si>
  <si>
    <r>
      <rPr>
        <b/>
        <sz val="12"/>
        <rFont val="Arial Narrow"/>
        <family val="2"/>
      </rPr>
      <t>Auxilio Transporte</t>
    </r>
    <r>
      <rPr>
        <sz val="12"/>
        <rFont val="Arial Narrow"/>
        <family val="2"/>
      </rPr>
      <t xml:space="preserve">:  (5,50+3,50) x 2 x 15 dias </t>
    </r>
  </si>
  <si>
    <t>CCT Sindesp x Sindesv</t>
  </si>
  <si>
    <r>
      <t xml:space="preserve">3) </t>
    </r>
    <r>
      <rPr>
        <b/>
        <sz val="12"/>
        <rFont val="Arial Narrow"/>
        <family val="2"/>
      </rPr>
      <t>Plano de Saúde</t>
    </r>
    <r>
      <rPr>
        <sz val="12"/>
        <rFont val="Arial Narrow"/>
        <family val="2"/>
      </rPr>
      <t>:</t>
    </r>
  </si>
  <si>
    <r>
      <t xml:space="preserve">4) </t>
    </r>
    <r>
      <rPr>
        <b/>
        <sz val="12"/>
        <rFont val="Arial Narrow"/>
        <family val="2"/>
      </rPr>
      <t>Assistêcia Odontológica</t>
    </r>
    <r>
      <rPr>
        <sz val="12"/>
        <rFont val="Arial Narrow"/>
        <family val="2"/>
      </rPr>
      <t>:</t>
    </r>
  </si>
  <si>
    <r>
      <t xml:space="preserve">5) </t>
    </r>
    <r>
      <rPr>
        <b/>
        <sz val="12"/>
        <rFont val="Arial Narrow"/>
        <family val="2"/>
      </rPr>
      <t>Assistência Funeral</t>
    </r>
    <r>
      <rPr>
        <sz val="12"/>
        <rFont val="Arial Narrow"/>
        <family val="2"/>
      </rPr>
      <t>:</t>
    </r>
  </si>
  <si>
    <t>Fundo aposentadoria</t>
  </si>
  <si>
    <t>CCT Sindesp x Sindesv - valor estimado conforme contrato vigente do confea Valor conforme apólice - SEI 0990689</t>
  </si>
  <si>
    <r>
      <t xml:space="preserve">2) </t>
    </r>
    <r>
      <rPr>
        <b/>
        <sz val="12"/>
        <rFont val="Arial Narrow"/>
        <family val="2"/>
      </rPr>
      <t>Auxilio Alimentação</t>
    </r>
    <r>
      <rPr>
        <sz val="12"/>
        <rFont val="Arial Narrow"/>
        <family val="2"/>
      </rPr>
      <t xml:space="preserve">: </t>
    </r>
  </si>
  <si>
    <t xml:space="preserve">F </t>
  </si>
  <si>
    <t>Outros</t>
  </si>
  <si>
    <t>Gestor de Facilities</t>
  </si>
  <si>
    <t>Encarregado Segurança</t>
  </si>
  <si>
    <t>Auxiliar Administrativo</t>
  </si>
  <si>
    <t>Valor anual</t>
  </si>
  <si>
    <t>Material de primeiros socorros</t>
  </si>
  <si>
    <t>Materiais sob demanda</t>
  </si>
  <si>
    <t>Serviços sob demanda</t>
  </si>
  <si>
    <t>SERVIÇOS DE GESTÃO INTEGRADA NA MODELAGEM FACILITIES</t>
  </si>
  <si>
    <t>O cálculo dos dias uteis mensal
Adotado o contido no Acórdão TCU nº 1.904 / 2007 - Plenário</t>
  </si>
  <si>
    <t>Escala semanal</t>
  </si>
  <si>
    <t>Escala 12x36</t>
  </si>
  <si>
    <r>
      <t xml:space="preserve">1) </t>
    </r>
    <r>
      <rPr>
        <b/>
        <sz val="12"/>
        <rFont val="Arial Narrow"/>
        <family val="2"/>
      </rPr>
      <t>Auxilio Transporte</t>
    </r>
    <r>
      <rPr>
        <sz val="12"/>
        <rFont val="Arial Narrow"/>
        <family val="2"/>
      </rPr>
      <t>: (5,50+3,50) x 2 x quant dias uteis</t>
    </r>
  </si>
  <si>
    <t>VALOR TOTAL</t>
  </si>
  <si>
    <t>Marceneiro</t>
  </si>
  <si>
    <t>Diaria</t>
  </si>
  <si>
    <t>Custo do empregado - Diária</t>
  </si>
  <si>
    <t>Vl mensal/30</t>
  </si>
  <si>
    <t>VALOR DIÁRIA DO EMPREGADO</t>
  </si>
  <si>
    <t>Vigilante Diurno</t>
  </si>
  <si>
    <t>Vigilante noturno</t>
  </si>
  <si>
    <t>Adicional de hora noturna reduzida</t>
  </si>
  <si>
    <t>Aposentadoria por invalidez</t>
  </si>
  <si>
    <t>CCT Sindesp x Sindesv  Vale diário de 47,37 - incluido desconto de 2% relativo ao PAT, previsto em CCT, o valor diário é de 46,42</t>
  </si>
  <si>
    <t>VALOR TOTAL POR POSTO</t>
  </si>
  <si>
    <t>Cálculo do estimativo de HORAS EXTRAS</t>
  </si>
  <si>
    <t>Custo Relativo a 1 hora</t>
  </si>
  <si>
    <t>Custo de 1 hora inlcuso o adicional de hora extra (50%)</t>
  </si>
  <si>
    <t>Custo relativo a 1 diária</t>
  </si>
  <si>
    <t>Vigilante Noturno</t>
  </si>
  <si>
    <t>HORA EXTRA</t>
  </si>
  <si>
    <t>Brigadista Diurno</t>
  </si>
  <si>
    <t>Brigadista noturno</t>
  </si>
  <si>
    <t>Bombeiro civil diurno folguista - 52 horas</t>
  </si>
  <si>
    <t>Bombeiro civil noturno folguista - 52 horas</t>
  </si>
  <si>
    <t>Comp.  da  Remuneração</t>
  </si>
  <si>
    <t>Alíquotas/Fórmula</t>
  </si>
  <si>
    <t xml:space="preserve">Brigadista Folguista Noturno </t>
  </si>
  <si>
    <t>Salário Base</t>
  </si>
  <si>
    <t>Adicional Noturno</t>
  </si>
  <si>
    <t>Folguista mensal (52 horas)</t>
  </si>
  <si>
    <t>Brigadista Folguista Diurno</t>
  </si>
  <si>
    <t xml:space="preserve"> Folguista mensal (52 horas)</t>
  </si>
  <si>
    <t>(salário base + Adic. Periculosidade / 180 * 52h)=</t>
  </si>
  <si>
    <t>MEMÓRIA DE CÁLCULO DO BRIGADISTA FOLGUISTA</t>
  </si>
  <si>
    <t>(salário base+Adic. Periculosidade+Adic.noturno/180 x 52h)=</t>
  </si>
  <si>
    <t>CALÇA - Calça comprida com elástico e cordão, em tecido grosso</t>
  </si>
  <si>
    <t>UNIFORMES - SERVENTE</t>
  </si>
  <si>
    <t>UNIFORMES - CARREGADOR DE MÓVEIS E MARCENEIRO</t>
  </si>
  <si>
    <t>PAR DE MEIAS - Em algodão, de boa qualidade, tipo soquete.</t>
  </si>
  <si>
    <t>Cinto Em couro constituído de 1 (uma) face na cor preta sem costura, fivela em metal, com garra regulável ou em naylon</t>
  </si>
  <si>
    <t>Calça em tecido nas cores do padrão de uso da empresa, com bolsos.</t>
  </si>
  <si>
    <t>Boné</t>
  </si>
  <si>
    <t>Tesoura</t>
  </si>
  <si>
    <t>Carrinho de mão</t>
  </si>
  <si>
    <t>Facão</t>
  </si>
  <si>
    <t>Carrinho para servir chá e café em aço inox, aramado, durável de ótima qualidade, suporta o peso mínimo de 200 quilos de carga, rodas em silicone mínimo de 10 cm resistente, 03 Prateleiras ajustáveis cobertura das prateleiras em polipropileno, Medidas: 87 cm C x 46cm P x 88 cm A, podendo variar para maior até 5 cm</t>
  </si>
  <si>
    <t>Cinto segurança</t>
  </si>
  <si>
    <t>Capacete</t>
  </si>
  <si>
    <t xml:space="preserve">Oculos </t>
  </si>
  <si>
    <t>EPI/EPC - jardineiro</t>
  </si>
  <si>
    <t>Luva raspa couro</t>
  </si>
  <si>
    <t>Uniformes*</t>
  </si>
  <si>
    <t>Alicate bico meia cana 6 polegadas</t>
  </si>
  <si>
    <t>Alicate corte diagonal 6 polegadas</t>
  </si>
  <si>
    <t>Alicate universal 8 polegadas</t>
  </si>
  <si>
    <t>Arco de serra fixo de 12”</t>
  </si>
  <si>
    <t>Chave de fenda teste, com “neon”, de 100 a 500 Volts</t>
  </si>
  <si>
    <t>Chaves de fenda: 1/8 x 4”, 3/16 x 4” e 1,4 x 5”</t>
  </si>
  <si>
    <t>Chaves Philips: 1/4 x 4”, 1/4 x 6”, 1/8 x 3” e 3/16 x 3”</t>
  </si>
  <si>
    <t>Facão de 18 polegadas, em aço carbono, com cabo empolipropileno</t>
  </si>
  <si>
    <t>Lâmina para arco de serra fixo de 12”</t>
  </si>
  <si>
    <t>Machado para bombeiro, com cabeça chata, cunha de ferrocortante e cabo de madeira</t>
  </si>
  <si>
    <t>Marreta de 5 kg, com base polida, cabo curto de madeirafixado com cunhas metálicas</t>
  </si>
  <si>
    <t>Martelo de aço com cabo de madeira e mínimo de 250 mm decomprimento</t>
  </si>
  <si>
    <t>Pé de cabra 3/4" x 80cm</t>
  </si>
  <si>
    <t>Talhadeira em aço especial com empunhadura</t>
  </si>
  <si>
    <t>MATERIAIS DE ARROMBAMENTO</t>
  </si>
  <si>
    <t>* O uniforme deve atender a CCT da categoria e a legislação do CBMDF. As quantidades a serem fornecidas são as constantes desta planilha</t>
  </si>
  <si>
    <t>Refil de mop umido e seco 40cm</t>
  </si>
  <si>
    <t>EPI/EPC - Vigilante</t>
  </si>
  <si>
    <t>Munição para as armas - conjunto compatível com revolver fornecido</t>
  </si>
  <si>
    <t>PLANILHA DE MATERIAIS DE PRIMEIROS SOCORROS</t>
  </si>
  <si>
    <t>Elemento filtrante carbon block rosca 5", compatível com purificador industrial 25 litros de bancada, KNOX KX02B</t>
  </si>
  <si>
    <t>Flanela para limpeza
Flanela, material algodão, comprimento 40 cm, largura 60 cm, cor branca</t>
  </si>
  <si>
    <t>Café Superior
Café torrado e moído superior, de primeira qualidade, com as seguintes características:
-Espécie: café 100% arábica. 
- Blend: a composição do produto poderá apresentar o porcentual de até 10% por quilo de café de grãos com defeitos pretos, verdes e/ou ardidos (PVA) e ausência de pretos-verdes fermentados 
-Torra: média.
-Moagem: média.
- classifcação ABIC: acima de 6,0
- Embalagem: pacotes de 500 gramas a vácuo contendo, no mínimo, as seguintes informações impressas diretamente na embalagem: data de fabricação, validade do produto, nome do fabricante, endereço, registro do órgão competente e composição do café 100% arábica. Não serão aceitas embalagens com rótulos provisórios como, por exemplo, sob a forma de etiquetas.
Características: Aroma característico; Amargor moderado; Sabor característico e equilibrado; Livres de sabor fermentado, mofado e de terra
Deverá constar na embalagem a data de fabricação e prazo de validade, que deverá ser de, no mínimo, 6 (seis) meses
Marca de referência: 3 corações, fino sabor ou similar superior</t>
  </si>
  <si>
    <t>Café gourmet
Café torrado e moído, padrão de qualidade mínimo gourmet, com as seguintes características: 
-Espécie: 100% café arábica 2. Bebida (sabor) do tipo intenso, bebida dura para melhor 3. Blend: a composição não poderá apresentar grãos com defeitos pretos, verdes e/ou ardidos (PVA) 
- classifcação ABIC: acima de 7,2
Moagem: média - Torração: moderadamente clara a moderadamente escura
Validade: não inferior a 6 (seis) meses da data de entrega.
Embalagem: em pacotes de 500 grama</t>
  </si>
  <si>
    <r>
      <rPr>
        <b/>
        <sz val="11"/>
        <color indexed="8"/>
        <rFont val="Calibri"/>
        <family val="2"/>
      </rPr>
      <t>Nota 1:</t>
    </r>
    <r>
      <rPr>
        <sz val="11"/>
        <color indexed="8"/>
        <rFont val="Calibri"/>
        <family val="2"/>
      </rPr>
      <t xml:space="preserve"> Custos Indiretos, Tributos e Lucro de acordo com as Planilhas de mão de obra</t>
    </r>
  </si>
  <si>
    <t>Área Interna</t>
  </si>
  <si>
    <t>Área Externa</t>
  </si>
  <si>
    <t>Esquadria Externa/interna</t>
  </si>
  <si>
    <t>Assistente Administrativo</t>
  </si>
  <si>
    <t>Assistente administrativo</t>
  </si>
  <si>
    <t>Encarregado Geral</t>
  </si>
  <si>
    <t>Abaixador de língua (espátula de madeira) descartável, formato convencional liso, espessura e largura uniforme em toda a sua extensão, medindo aproximadamente 14 cm de comprimento, 1,5 cm de largura e 2 mm de espessura.</t>
  </si>
  <si>
    <t>Água oxigenada 10 volumes, embalada em frasco de 100 ml de capacidade.</t>
  </si>
  <si>
    <t>Hastes flexíveis de plástico ou polipropileno, com algodão firmemente aderido nas pontas, medindo de 7 a 8 centimetros, em caixa com 100 unidades.</t>
  </si>
  <si>
    <t>Máscara descartável, formato retangular, com elás􀆟co, de polipropileno, cor branca, em caixa com 50 unidades.</t>
  </si>
  <si>
    <t>Curativo micro poroso, que permite respiração da pele, evaporação de suor e umidade, mantendo a pele seca e fresca, resistente à água. 50 mm.</t>
  </si>
  <si>
    <t>rolo</t>
  </si>
  <si>
    <t>frasco</t>
  </si>
  <si>
    <t>Compras.gov.br</t>
  </si>
  <si>
    <t>Luva de látex para procedimento hospitalar, descartável, ambidestra, punhos longos, com bainha, formato anatômico, alta sensibilidade tátil, boa elasticidade e resistência, tamanho médio</t>
  </si>
  <si>
    <t>caixa</t>
  </si>
  <si>
    <t>Saco plástico para lixo hospitalar branco leitoso resistente com capacidade para 15 litros</t>
  </si>
  <si>
    <t>Algodão hidrófilo em camadas (manta) continuas em forma de rolo, com aspecto homogêneo e macio, boa absorvência, inodoro, ausência de grumos ou quaisquer impurezas, cor branca</t>
  </si>
  <si>
    <t>Tintura de iodo a 2%, frasco 30ml</t>
  </si>
  <si>
    <t>Mediana</t>
  </si>
  <si>
    <t>Máscara descartável RPC para respiração boca-a-boca.</t>
  </si>
  <si>
    <t>bisnaga</t>
  </si>
  <si>
    <t>pacote</t>
  </si>
  <si>
    <t>par</t>
  </si>
  <si>
    <t>Cotação</t>
  </si>
  <si>
    <t>Odorizador de ambiente
Refil odorizador de ambiente, aerosol, refil 250 ml para dispenser, essência capim limão ou similar
Marca de referência: glade ou similar</t>
  </si>
  <si>
    <t>Detergente para lavagem de carpete
Limpador proprio para carpetes e tapetes, próprio para remoção de manchas, odores e sujeira em geral através de limpeza química e mecânica das fibras de tapetes e captura de sujidade presente pela própria espuma aplicada. Tipo concentrado para diluição. Composição: tensoativos aniônicos e não iônicos, fragrância, solubilizantes, corante, água. Frasco 500ml</t>
  </si>
  <si>
    <t>Disco removedor
Para uso em enceradeira industrial preto 510 mm</t>
  </si>
  <si>
    <t>Esponja de aço
Pacote com 08 unidades</t>
  </si>
  <si>
    <t>Lustra móveis
Lustrador móveis, componentes base de silicone aroma lavanda ou similar, aplicação móveis e superfícies lisas aspecto físico pastoso. Frasco 500 ml</t>
  </si>
  <si>
    <t>Pá coletora lixo
Base metálico e cabo de 90cm</t>
  </si>
  <si>
    <t>Sabão em pó
Sabão em pó, aspecto físico pó, composição água, alquil benzeno sulfato de sódio, corante, características adicionais amaciante. Caixa de 800g</t>
  </si>
  <si>
    <t>Saco para lixo de 100 litros
Saco de lixo 100 litros em polietileno. Embalagem com Unidades picotadas ou individualizadas, em cor preta. Pacote com 100 unid</t>
  </si>
  <si>
    <t>Saco para aspirador de pó - 80 litros. Pacote com 3 unidades</t>
  </si>
  <si>
    <t>Vassoura
Vassoura Gari piaçava de 40 cm, com cabo de madeira envernizado ou revestido de plástico</t>
  </si>
  <si>
    <t>Vassoura 
Vassoura de pelo 40 cm, material cerdas náilon material cabo madeira material cepa plástico comprimento cerdas 11 cm características adicionais com cabo rosqueado cabo comprido tamanho mínimo de 1,2 0m largura cepa 40 cm aplicação limpeza em geral</t>
  </si>
  <si>
    <t>Vassoura
Vaossoura para limpeza ssanitaria, cabo de plástico</t>
  </si>
  <si>
    <t>Guardanapo de papel 33x30 cm
Guardanapo de papel não reciclado, gofrado, macio, com absorção instantânea de líquidos, 100% celulose, não perecível, cor branca, folhas simples, comprimento x 30 cm de largura, gramatura
mínima de 25 g/m² (por guardanapo), em pacotes com 50 (cinquenta) unidades cada.  Marca/Fabricante de referência: Coquetel ou sim</t>
  </si>
  <si>
    <t>Balizamento</t>
  </si>
  <si>
    <t>Mediana Compras.gov.br</t>
  </si>
  <si>
    <t>BALIZAMENTO DE PREÇOS</t>
  </si>
  <si>
    <t>Pesquisa preço PNCP</t>
  </si>
  <si>
    <t>CADE PE 00002/2023-000 VALOR UNIT</t>
  </si>
  <si>
    <t>MIN AGR PE 00010/2023-001</t>
  </si>
  <si>
    <t>Contrato 253/2022 Confea Valor Unit</t>
  </si>
  <si>
    <t xml:space="preserve">VALOR MÉDIO UNIT </t>
  </si>
  <si>
    <t>VALOR MÉDIO TOTAL</t>
  </si>
  <si>
    <t>VALOR MEDIANO UNIT</t>
  </si>
  <si>
    <t>VALOR MEDIANO TOTAL</t>
  </si>
  <si>
    <t>ANVISA PE  90003/202-02 VALOR UNIT</t>
  </si>
  <si>
    <t>MEC PE 90002/2024 VALOR UNIT</t>
  </si>
  <si>
    <t xml:space="preserve">Cotação </t>
  </si>
  <si>
    <t>CAM DEP PE 90047/2024 VALOR UNIT*</t>
  </si>
  <si>
    <t>FUND IBGE SES/DF PE 90003/2024 VALOR UNIT</t>
  </si>
  <si>
    <t>SEGUR PRO COTAÇÃO SEI nº 1051153</t>
  </si>
  <si>
    <t>valor=valor/quantidade</t>
  </si>
  <si>
    <t>MME PE 90012/2024-000 VALOR UNIT</t>
  </si>
  <si>
    <t>MIN EDUC PE 90009/2024 VALOR UNT</t>
  </si>
  <si>
    <t>ANEEL PE 90007/2024 VALOR UNIT</t>
  </si>
  <si>
    <t>Pesq Internet</t>
  </si>
  <si>
    <t>Esp.Potencia Asp de pó Min 1500 w. 
Esp lavadora Potencia 1800 lb</t>
  </si>
  <si>
    <t>Esp.Potencia Asp de pó Min 1400 w. 
Esp lavadora Potencia 1600 lb</t>
  </si>
  <si>
    <t>CAM DEP PE 90047/2024</t>
  </si>
  <si>
    <t>SEGUR PRO COTAÇÃO SEI nº 1051153 *</t>
  </si>
  <si>
    <t>* valor=preço unit mensal*60+20%</t>
  </si>
  <si>
    <t>valor =valor proposta /12 *60+20%</t>
  </si>
  <si>
    <t>AGU PE 90004/2024 VALOR UNIT</t>
  </si>
  <si>
    <t>CODEVASF PE 90015/2024 VALUR UNIT</t>
  </si>
  <si>
    <t>TABELA SINAPI 10/10/2024</t>
  </si>
  <si>
    <t>Refil protetor de assento sanitário
Forro Protetor de Papel para assento de sanitário descartável. Caixa com 40 unidades</t>
  </si>
  <si>
    <t>Adoçante sucralose liquido frasco 100 ml</t>
  </si>
  <si>
    <t>Chá diversos sabores
Chá diversos sabores envelopados. Caixas com 10 unidades
Marca de referência: leão, twinings ou similar superior</t>
  </si>
  <si>
    <t>Copos para água
Copo descartável biodegradável em polipropileno (PP), atóxico, 180 a 200 ml, transparente, para líquidos frios ou quentes, corpo frisado, bordas arredondtelescopamento, com gravação indelével no corpo do copo da marca do fabricante e peso mínimo de 1,8 g. O produto deverá estar de acordo com a norma NBR 13230
Acondicionamento em sacos plásticos, lacrados, contendo 100 unidades cada um, fornecidos em caixas com total de 2500 unidades
Marca de referência: COPOBRAS CFB-200 ou similar</t>
  </si>
  <si>
    <t>Mexedor plástico
Mexedor plástico para café, grande de 9 cm, caixa com 500 unidades</t>
  </si>
  <si>
    <t>Garrafa térmica 1 litro, inox
Garrafa térmica inoxidável (1,0 litro): corpo confeccionado em aço inoxidável, sistema de servir por pressão, com acabamentos na cor preta. tampa rosca, bico corta pingo, com alça para transporte, ampola de vidro com capacidade para 1,0 litro
Marca de referência: termolar ou similar superior</t>
  </si>
  <si>
    <t>Garrafa térmica 1,8 litro, inox
Garrafa térmica inoxidável (1,8 litro): corpo confeccionado em aço inoxidável, sistema de servir por pressão, com acabamentos na cor preta. tampa rosca, bico corta pingo, com alça para transporte, ampola de vidro com capacidade para 1,8 litro
Marca de referência: termolar ou similar superior</t>
  </si>
  <si>
    <t xml:space="preserve">Açucareiro
Material: Aço Inoxidável; Capacidade: 330 G; Características Adicionais: Com Colher </t>
  </si>
  <si>
    <t>Xícara para café
Xícara para café, com pires e friso dourado: fabricada em porcelana na cor branca, acabamento esmaltado livre de deformações geométricas, bolhas ou risco, com frisos dourados nas bordas medindo aproximadamente 2 mm de espessura, com bordas arredondadas de acabamento anticortante, capacidade entre aproximadamente 50 mm x 55 mm (diâmetro x altura)</t>
  </si>
  <si>
    <t>Bule de café
Bule bico longo 1,0 litro: para café ou chá, totalmente fabricado em aço inoxidável, com tampa fixa, capacidade para 1000 ml, corpo sem emendas
Marca de referência: kehome ou outra de qualidade igual ou superior</t>
  </si>
  <si>
    <t>Copo papel para água
Copo de papel liso, 180 a 200 ml, biodegradável, descartável, branco, resistente ao calor
Fornecidos em caixas com total de 2500 unidades</t>
  </si>
  <si>
    <t>PesqPreço COMPRAS.GOV 12/12/2024</t>
  </si>
  <si>
    <t>Terra vegetal com adubo orgânico
Saco de 25 kg</t>
  </si>
  <si>
    <t xml:space="preserve">Sinapi </t>
  </si>
  <si>
    <t>Abudo animal
Esterco de galinha para jardinagem</t>
  </si>
  <si>
    <t>kg</t>
  </si>
  <si>
    <t>Muda de planta
Muda de forração rasteria, AMENDOIM RASTEIRO/ONZE HORAS/AZULZINHA/IMPATIENS OU EQUIVALENTE DA REGIAO</t>
  </si>
  <si>
    <t>Muda de planta
MUDA DE PALMEIRA ARECA, H= *1,50* M</t>
  </si>
  <si>
    <t>Muda de planta
MUDA DE ARVORE ORNAMENTAL, OITI/AROEIRA SALSA/ANGICO/IPE/JACARANDA OU EQUIVALENTE DA REGIAO, H= *1* M</t>
  </si>
  <si>
    <t>Muda de planta
MUDA DE ARBUSTO FLORIFERO, CLUSIA/GARDENIA/MOREIA BRANCA/ AZALEIA OU EQUIVALENTE DA REGIAO, H= *50 A 70* CM</t>
  </si>
  <si>
    <t>Muda de planta
MUDA DE ARBUSTO FOLHAGEM, SANSAO-DO-CAMPO OU EQUIVALENTE DA REGIAO, H= *50 A 70* CM</t>
  </si>
  <si>
    <t>Papel Toalha
Papel toalha, interfolheado, folha dupla, em papel branco de 1ª qualidade, 2 dobras, medidas 20x23cm, 100% celulose virgem, gramatura 14~15gr/m2, super absorção de água e maciez, caixa com 2.400 folhas, cor branca
Marca de referência: Milli, sulleg ou similar superior</t>
  </si>
  <si>
    <t>Impermeabilizante de piso.
Base seladora a base d'água composta por polímeros acrílicos. 
Capacidade de selar a porosidades dos pisos com baixo consumo de produto. Fácil aplicação e sem manchas.
Composição visando restação de pisos frios e serve como base de acabamento, ação 2 em 1, alta resistência de tráfego, antiderrapante, acabamento brilho molhado para piso vinílico, galão de 05 litros.
Marca de referência: Diversey ACRIL BR007540 ou similar superior.</t>
  </si>
  <si>
    <t>Impermeabilizante de piso
utilização como base seladora /impermeabilizante, com brilho restaurável e alta resistência ao tráfego. Mantém a cor natural de seu piso. Excelente aderência. PH 8,6 a 9,0, liquido leitoso. Composição: Agentes Formadores de Filme, Coadjuvantes, Plastificante, Agente Nivelador, Agente de controle de pH e Água. Galão de 5L
Diversey Plaza  ou similar superior.</t>
  </si>
  <si>
    <t>Detergente removedor
Detergente removedor para ceras e acabamentos acrílicos. Alta eficiência, indicado para a remoção de ceras, acabamentos acrílicos e sujidades pesadas de pisos laváveis como vinil, cerâmica, granito, mármore, etc. Especialmente indicado para áreas onde encontramos acúmulo de impermeabilizantes e bases seladoras e áreas mantidas com grande fluxo. Não emitir forte odor quando diluído. Galão de 5L
Diversey Freedom  ou similar superior.</t>
  </si>
  <si>
    <t>Nota 2: a substituição da marca de referência dos itens 43 a 45 somente será aceita mediante teste de qualidade in loco e aprovado pela fiscalização</t>
  </si>
  <si>
    <t xml:space="preserve">tabela SINAPI 10/10/2024 </t>
  </si>
  <si>
    <t>Internet</t>
  </si>
  <si>
    <t>Contrato Confea</t>
  </si>
  <si>
    <t>conj</t>
  </si>
  <si>
    <t>EPI</t>
  </si>
  <si>
    <t>M defesa</t>
  </si>
  <si>
    <t>Modelagem de chave para fechadura de porta/móvel com 2 copias;</t>
  </si>
  <si>
    <t>MPU</t>
  </si>
  <si>
    <t>Troca de segredo de móvel com 2 copias;</t>
  </si>
  <si>
    <t>Troca de segredo de porta com 2 copias</t>
  </si>
  <si>
    <t>TRF</t>
  </si>
  <si>
    <t>PLANILHA DE SERVIÇOS EVENTUAIS - sob demanda</t>
  </si>
  <si>
    <t>0,14 por m²</t>
  </si>
  <si>
    <t>Senado</t>
  </si>
  <si>
    <t>Serviços de lavanderia, abrangendo: coleta, lavagem/higienização, passagem, pesagem e embalagem de toalha de rosto, toalha de mesa em cetim e forros de mesa em geral</t>
  </si>
  <si>
    <t>TRF1</t>
  </si>
  <si>
    <t>Marinha</t>
  </si>
  <si>
    <t>Cotação doc SEI nº 0987761</t>
  </si>
  <si>
    <t>Cotação doc SEI nº 1031709</t>
  </si>
  <si>
    <t>Limpeza e higienização a seco de cadeira de trabalho estofada</t>
  </si>
  <si>
    <t>Balizamento posto gestor de facilities</t>
  </si>
  <si>
    <t>Min pecuaria</t>
  </si>
  <si>
    <t>Media salarial</t>
  </si>
  <si>
    <t>MDS</t>
  </si>
  <si>
    <t>Min comunicações</t>
  </si>
  <si>
    <t>Serviços de transporte terrestre por demanda, na modalidade porta a porta, em Brasília-DF - até 100km</t>
  </si>
  <si>
    <t>Ata fono</t>
  </si>
  <si>
    <t>Serviço de transporte de carga/bens</t>
  </si>
  <si>
    <t>Anatel</t>
  </si>
  <si>
    <t>m³/km</t>
  </si>
  <si>
    <t>Enap</t>
  </si>
  <si>
    <t>Impr Nacional PE 90004/2024 VALOR UNIT</t>
  </si>
  <si>
    <t>Motorista</t>
  </si>
  <si>
    <t>Motorista executivo</t>
  </si>
  <si>
    <t>12 X 36</t>
  </si>
  <si>
    <t>Motorista Executivo</t>
  </si>
  <si>
    <t>A quantidade de horas extras que um trabalhador pode fazer por mês depende da jornada de trabalho semanal. </t>
  </si>
  <si>
    <t>A carga horária para cada motorista será de 40 (quarenta) horas semanais, assim, cada motorista poderá realizar, no máximo, 10 (dez) horas extras semanais, ou 40 horas extras por mês.</t>
  </si>
  <si>
    <t>Para calcular o valor da hora extra, é preciso considerar pelo menos 50% do valor normal da hora trabalhada. </t>
  </si>
  <si>
    <t>O valor do salário base é de R$ 3.300,94, os cálculos estão discriminados no quadro abaixo:</t>
  </si>
  <si>
    <t>Salário bruto</t>
  </si>
  <si>
    <t>Carga horária mensal</t>
  </si>
  <si>
    <t>220 horas</t>
  </si>
  <si>
    <t>Salário-hora</t>
  </si>
  <si>
    <t>% das horas extras</t>
  </si>
  <si>
    <t>Valor das horas extras</t>
  </si>
  <si>
    <t xml:space="preserve">Então temos:
10 horas por semana: 10h x R$ 22,51 = R$ 225,10
40 horas por mês = 40h x R$ 22,51 = R$ 900,40.
Para esse contrato precisaremos de 960 horas ano = R$ 21.609,60
</t>
  </si>
  <si>
    <t>Os valores acima são meramente estimativos, de forma que os pagamentos devidos à CONTRATADA dependerão dos quantitativos de serviços efetivamente prestados</t>
  </si>
  <si>
    <t>conforme cl 10ª CCT</t>
  </si>
  <si>
    <t>Memória de Cálculos Diária</t>
  </si>
  <si>
    <t>Diária</t>
  </si>
  <si>
    <t>Quant. ano</t>
  </si>
  <si>
    <t>Valor unitário</t>
  </si>
  <si>
    <t>sem pernoite</t>
  </si>
  <si>
    <t>com pernoite</t>
  </si>
  <si>
    <t>Memória de Cálculos Horas extras</t>
  </si>
  <si>
    <t>Diária sem pernoite - motorista executivo</t>
  </si>
  <si>
    <t>Diária com pernoite - motorista executivo</t>
  </si>
  <si>
    <t xml:space="preserve">Os valores unitarios das diárias são fixos não podendo ser reduzidos pela lictante na formulação da proposta </t>
  </si>
  <si>
    <t>Estipulou-se a quantidade de 24 diárias sem pernoite e 24 diárias com pernoite, por ano, conforme tabela abaixo:</t>
  </si>
  <si>
    <r>
      <rPr>
        <b/>
        <sz val="11"/>
        <color indexed="8"/>
        <rFont val="Calibri"/>
        <family val="2"/>
      </rPr>
      <t>2 diárias mês</t>
    </r>
    <r>
      <rPr>
        <sz val="11"/>
        <color indexed="8"/>
        <rFont val="Calibri"/>
        <family val="2"/>
      </rPr>
      <t xml:space="preserve">
Sem pernoite: 2 D* R$ 150,00 = R$ 300,00
Com pernoite: pernoite: 2 D* R$ 300,00 = R$ 600,00
</t>
    </r>
  </si>
  <si>
    <t>Motorista executivo - hora extra</t>
  </si>
  <si>
    <t>Motorista executivo - escritorio de São Paulo</t>
  </si>
  <si>
    <t>CCT Sittrater x Seac</t>
  </si>
  <si>
    <t>UNIFORMES - ENCARREGADO, RECEPCIONISTA, GARÇOM, PORTEIRO, GARAGISTA, COPEIRA, motorista</t>
  </si>
  <si>
    <t>Operação escritorio de representação SP</t>
  </si>
  <si>
    <t>CCT Seac/sp x Simaeco/sp</t>
  </si>
  <si>
    <t>PPR</t>
  </si>
  <si>
    <t>Cesta básica</t>
  </si>
  <si>
    <t>Assistência saude</t>
  </si>
  <si>
    <t>Premio assiduidade</t>
  </si>
  <si>
    <t xml:space="preserve">Os valores unitarios dos itens 37 e 38 são fixos não podendo ser reduzidos pela lictante na formulação da proposta </t>
  </si>
  <si>
    <t>São Paulo/SP</t>
  </si>
  <si>
    <t>DIARIA</t>
  </si>
  <si>
    <t>Motorista Executivo - DIÁRIA</t>
  </si>
  <si>
    <t>MPDFT - 19,00
Incra - 25,00
PF - 29,30</t>
  </si>
  <si>
    <t>PF - 29,30</t>
  </si>
  <si>
    <t>SEAC/DF X SINDISERVIÇOS (SEI 1147509)</t>
  </si>
  <si>
    <t>SINDESP/DF X SINDESV/DF (SEI 1068462)</t>
  </si>
  <si>
    <t xml:space="preserve">Seac/DF x Sittrater/DF (SEI </t>
  </si>
  <si>
    <t>SEAC/DF X Sindibombeiros (SEI 1187059)</t>
  </si>
  <si>
    <t>Para a obtenção de valor estimado da remuneração dos profissionais envolvidos tomou-se por base algumas convenções coletivas, porém é importante citar que estas Convenções não serão tratadas como obrigatórias na execução contratual, pois não se pode precisar a atividade preponderante da empresa a ser contratada.
Os valores dos salários dos funcionários foram estimados com base nos valores estipulados conforme:
- CCT 2025/2025 – Seac/DF x Sindiserviços/DF - SEI 1147509;
- CCT  2025/2025 – Seac/DF x Sindbombeiros/DF - SEI 1187059
- CCT 2024/2024 – Sindesp/DF x Sindesv/DF - SEI 1068462
- CCT 2024/2025 - Seac/DF x Sittrater/DF - SEI 1187066
Para o posto encarregado de segurança foi considerado o salario base de encarregado geral face as atribuições estabelecidas no TR
Para o posto gestor de facilities foi realizada pesquisa de mercado conforme consta ao lado:
A licitante deverá declarar a qual Sindicato é filiada em decorrência da sua atividade econômica principal e por conseguinte, apresentar aquelas CCTs utilizadas na sua proposta, ou seja, as convenções as quais está obrigada a cumprir.</t>
  </si>
  <si>
    <t>CCT Sittrater x Seac, valor diario de 49,00</t>
  </si>
  <si>
    <t>SEAC/SP X SIEMACO (SEI 1187185)</t>
  </si>
  <si>
    <t>CCT Seac/sp x Simaeco/sp - 20,76 - 1,39</t>
  </si>
  <si>
    <t>01/05/24</t>
  </si>
  <si>
    <t>unidade</t>
  </si>
  <si>
    <t>Quantidade Mensal</t>
  </si>
  <si>
    <t>Decidiu-se pela adoção e uso das alíquotas do Lucro Real visando promover maior transparência no processo de formação de preços, assegurando que os valores apresentados sejam justos e competitivos. Devendo a licitante comprovar seu regime de tributação na apresnetação da proposta</t>
  </si>
  <si>
    <t>Os custos indiretos são calculados mediante incidência de um percentual sobre o somatório da remuneração, benefícios mensais e diários, insumos diversos, encargos sociais e trabalhistas
Alíquota considerada a paritir das recomendação contida no Caderno de logistica de serviços de limpeza 
CI: 3,00%</t>
  </si>
  <si>
    <t>É o ganho decorrente da exploração da atividade econômica. O lucro é calculado mediante incidência de um percentual sobre o faturamento. Para fins de legislação do imposto de renda o lucro pode ser real, presumido ou arbitrado.
Alíquota considerada a paritir das recomendação contida no Caderno de logistica de serviços de limpeza 
Lucro: 6,79%</t>
  </si>
  <si>
    <t>C.1. Tributos Federais (PIS )</t>
  </si>
  <si>
    <t>C.1. Tributos Federais (COFINS )</t>
  </si>
  <si>
    <t>Manutenção de cadeiras com troca de peças originais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</si>
</sst>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8" formatCode="&quot;R$&quot;\ #,##0.00;[Red]\-&quot;R$&quot;\ #,##0.00"/>
    <numFmt numFmtId="44" formatCode="_-&quot;R$&quot;\ * #,##0.00_-;\-&quot;R$&quot;\ * #,##0.00_-;_-&quot;R$&quot;\ * &quot;-&quot;??_-;_-@_-"/>
    <numFmt numFmtId="43" formatCode="_-* #,##0.00_-;\-* #,##0.00_-;_-* &quot;-&quot;??_-;_-@_-"/>
    <numFmt numFmtId="164" formatCode="_-&quot;R$&quot;* #,##0.00_-;\-&quot;R$&quot;* #,##0.00_-;_-&quot;R$&quot;* &quot;-&quot;??_-;_-@_-"/>
    <numFmt numFmtId="165" formatCode="_-&quot;R$ &quot;* #,##0.00_-;&quot;-R$ &quot;* #,##0.00_-;_-&quot;R$ &quot;* \-??_-;_-@_-"/>
    <numFmt numFmtId="166" formatCode="_(&quot;R$ &quot;* #,##0.00_);_(&quot;R$ &quot;* \(#,##0.00\);_(&quot;R$ &quot;* \-??_);_(@_)"/>
    <numFmt numFmtId="167" formatCode="#,##0.00\ ;#,##0.00\ ;\-#\ ;\ @\ "/>
    <numFmt numFmtId="168" formatCode="mm/dd/yy"/>
    <numFmt numFmtId="169" formatCode="_(* #,##0.00_);_(* \(#,##0.00\);_(* \-??_);_(@_)"/>
    <numFmt numFmtId="170" formatCode="_(* #,##0.00_);_(* \(#,##0.00\);_(* &quot;-&quot;??_);_(@_)"/>
    <numFmt numFmtId="171" formatCode="#,##0.00_ ;\-#,##0.00\ "/>
    <numFmt numFmtId="172" formatCode="&quot;R$ &quot;#,##0.00_);[Red]\(&quot;R$ &quot;#,##0.00\)"/>
    <numFmt numFmtId="173" formatCode="_(&quot;R$&quot;* #,##0.00_);_(&quot;R$&quot;* \(#,##0.00\);_(&quot;R$&quot;* &quot;-&quot;??_);_(@_)"/>
    <numFmt numFmtId="174" formatCode="#,##0_ ;\-#,##0\ "/>
    <numFmt numFmtId="175" formatCode="0.000%"/>
    <numFmt numFmtId="176" formatCode="[$R$ -416]#,##0.00"/>
    <numFmt numFmtId="177" formatCode="0.000000"/>
    <numFmt numFmtId="178" formatCode="#,##0.000000"/>
    <numFmt numFmtId="179" formatCode="_-* #,##0.00_-;\-* #,##0.00_-;_-* \-??_-;_-@_-"/>
    <numFmt numFmtId="180" formatCode="&quot; R$&quot;#,##0.00&quot; &quot;;&quot; R$(&quot;#,##0.00&quot;)&quot;;&quot; R$-&quot;#&quot; &quot;;@&quot; &quot;"/>
    <numFmt numFmtId="181" formatCode="#,##0.00&quot; &quot;;&quot;-&quot;#,##0.00&quot; &quot;;&quot;-&quot;00&quot; &quot;;@&quot; &quot;"/>
  </numFmts>
  <fonts count="111">
    <font>
      <sz val="11"/>
      <color indexed="8"/>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indexed="8"/>
      <name val="Calibri"/>
      <family val="2"/>
    </font>
    <font>
      <sz val="10"/>
      <color indexed="8"/>
      <name val="Times New Roman"/>
      <family val="1"/>
    </font>
    <font>
      <sz val="10"/>
      <color indexed="8"/>
      <name val="Calibri"/>
      <family val="2"/>
      <charset val="1"/>
    </font>
    <font>
      <sz val="9"/>
      <color indexed="8"/>
      <name val="Calibri"/>
      <family val="2"/>
      <charset val="1"/>
    </font>
    <font>
      <b/>
      <sz val="11"/>
      <color indexed="8"/>
      <name val="Calibri"/>
      <family val="2"/>
    </font>
    <font>
      <sz val="11"/>
      <color indexed="8"/>
      <name val="Calibri"/>
      <family val="2"/>
      <charset val="1"/>
    </font>
    <font>
      <sz val="11"/>
      <name val="Calibri"/>
      <family val="2"/>
    </font>
    <font>
      <b/>
      <sz val="11"/>
      <name val="Calibri"/>
      <family val="2"/>
    </font>
    <font>
      <b/>
      <sz val="14"/>
      <name val="Calibri"/>
      <family val="2"/>
    </font>
    <font>
      <sz val="10"/>
      <name val="Arial"/>
      <family val="2"/>
    </font>
    <font>
      <b/>
      <sz val="16"/>
      <name val="Arial Narrow"/>
      <family val="2"/>
    </font>
    <font>
      <sz val="12"/>
      <name val="Arial Narrow"/>
      <family val="2"/>
    </font>
    <font>
      <b/>
      <sz val="12"/>
      <name val="Arial Narrow"/>
      <family val="2"/>
    </font>
    <font>
      <sz val="12"/>
      <color theme="1"/>
      <name val="Arial Narrow"/>
      <family val="2"/>
    </font>
    <font>
      <sz val="10"/>
      <name val="Times New Roman"/>
      <family val="1"/>
    </font>
    <font>
      <sz val="12"/>
      <color rgb="FFFF0000"/>
      <name val="Arial Narrow"/>
      <family val="2"/>
    </font>
    <font>
      <sz val="12"/>
      <name val="Calibri"/>
      <family val="2"/>
      <charset val="1"/>
      <scheme val="minor"/>
    </font>
    <font>
      <b/>
      <sz val="14"/>
      <color indexed="8"/>
      <name val="Calibri"/>
      <family val="2"/>
    </font>
    <font>
      <sz val="12"/>
      <color indexed="8"/>
      <name val="Calibri"/>
      <family val="2"/>
      <scheme val="minor"/>
    </font>
    <font>
      <sz val="12"/>
      <name val="Calibri"/>
      <family val="2"/>
      <scheme val="minor"/>
    </font>
    <font>
      <b/>
      <sz val="12"/>
      <color theme="1"/>
      <name val="Calibri"/>
      <family val="2"/>
      <scheme val="minor"/>
    </font>
    <font>
      <sz val="11"/>
      <color theme="1"/>
      <name val="Calibri"/>
      <family val="2"/>
      <scheme val="minor"/>
    </font>
    <font>
      <sz val="12"/>
      <name val="Bookman Old Style"/>
      <family val="1"/>
    </font>
    <font>
      <sz val="12"/>
      <color theme="1"/>
      <name val="Calibri"/>
      <family val="2"/>
      <scheme val="minor"/>
    </font>
    <font>
      <b/>
      <sz val="11"/>
      <color rgb="FF000000"/>
      <name val="Calibri"/>
      <family val="2"/>
    </font>
    <font>
      <sz val="12"/>
      <color indexed="8"/>
      <name val="Calibri"/>
      <family val="2"/>
      <charset val="1"/>
    </font>
    <font>
      <b/>
      <sz val="12"/>
      <color indexed="8"/>
      <name val="Calibri"/>
      <family val="2"/>
      <scheme val="minor"/>
    </font>
    <font>
      <b/>
      <sz val="11"/>
      <color theme="1"/>
      <name val="Calibri"/>
      <family val="2"/>
    </font>
    <font>
      <sz val="10"/>
      <color theme="1"/>
      <name val="Calibri"/>
      <family val="2"/>
      <charset val="1"/>
    </font>
    <font>
      <sz val="12"/>
      <color theme="1"/>
      <name val="Calibri"/>
      <family val="2"/>
      <charset val="1"/>
    </font>
    <font>
      <sz val="12"/>
      <color rgb="FF000000"/>
      <name val="Calibri"/>
      <family val="2"/>
      <charset val="1"/>
    </font>
    <font>
      <b/>
      <sz val="12"/>
      <color theme="1"/>
      <name val="Calibri"/>
      <family val="2"/>
      <charset val="1"/>
    </font>
    <font>
      <b/>
      <sz val="16"/>
      <color indexed="8"/>
      <name val="Calibri"/>
      <family val="2"/>
    </font>
    <font>
      <b/>
      <sz val="12"/>
      <color theme="1"/>
      <name val="Calibri"/>
      <family val="2"/>
      <charset val="1"/>
      <scheme val="minor"/>
    </font>
    <font>
      <sz val="12"/>
      <color theme="1"/>
      <name val="Calibri"/>
      <family val="2"/>
      <charset val="1"/>
      <scheme val="minor"/>
    </font>
    <font>
      <b/>
      <sz val="11"/>
      <color theme="1"/>
      <name val="Calibri"/>
      <family val="2"/>
      <charset val="1"/>
      <scheme val="minor"/>
    </font>
    <font>
      <b/>
      <sz val="11"/>
      <color rgb="FF000000"/>
      <name val="Calibri"/>
      <family val="2"/>
      <charset val="1"/>
      <scheme val="minor"/>
    </font>
    <font>
      <b/>
      <sz val="11"/>
      <name val="Calibri"/>
      <family val="2"/>
      <charset val="1"/>
      <scheme val="minor"/>
    </font>
    <font>
      <sz val="12"/>
      <color theme="1"/>
      <name val="Calibri"/>
      <family val="2"/>
    </font>
    <font>
      <b/>
      <sz val="12"/>
      <color theme="1"/>
      <name val="Calibri"/>
      <family val="2"/>
    </font>
    <font>
      <b/>
      <sz val="14"/>
      <color theme="1"/>
      <name val="Arial Narrow"/>
      <family val="2"/>
    </font>
    <font>
      <b/>
      <sz val="16"/>
      <color theme="1"/>
      <name val="Calibri"/>
      <family val="2"/>
      <charset val="1"/>
      <scheme val="minor"/>
    </font>
    <font>
      <b/>
      <sz val="11"/>
      <color rgb="FFFF0000"/>
      <name val="Calibri"/>
      <family val="2"/>
    </font>
    <font>
      <sz val="9"/>
      <color rgb="FFFF0000"/>
      <name val="Calibri"/>
      <family val="2"/>
      <charset val="1"/>
    </font>
    <font>
      <sz val="8"/>
      <name val="Calibri"/>
      <family val="2"/>
      <charset val="1"/>
    </font>
    <font>
      <b/>
      <sz val="18"/>
      <color indexed="8"/>
      <name val="Calibri"/>
      <family val="2"/>
      <scheme val="minor"/>
    </font>
    <font>
      <sz val="11"/>
      <color rgb="FF000000"/>
      <name val="Calibri"/>
      <family val="2"/>
    </font>
    <font>
      <b/>
      <sz val="11"/>
      <color theme="1"/>
      <name val="Calibri"/>
      <family val="2"/>
      <scheme val="minor"/>
    </font>
    <font>
      <sz val="11"/>
      <name val="Calibri"/>
      <family val="2"/>
      <charset val="1"/>
    </font>
    <font>
      <b/>
      <sz val="14"/>
      <color theme="1"/>
      <name val="Calibri"/>
      <family val="2"/>
      <charset val="1"/>
      <scheme val="minor"/>
    </font>
    <font>
      <sz val="9"/>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9"/>
      <color indexed="10"/>
      <name val="Geneva"/>
    </font>
    <font>
      <sz val="12"/>
      <name val="Times New Roman"/>
      <family val="1"/>
    </font>
    <font>
      <b/>
      <sz val="12"/>
      <color indexed="8"/>
      <name val="Times New Roman"/>
      <family val="1"/>
    </font>
    <font>
      <sz val="10"/>
      <color rgb="FF000000"/>
      <name val="Arial"/>
      <family val="2"/>
    </font>
    <font>
      <sz val="10"/>
      <name val="Calibri"/>
      <family val="2"/>
    </font>
    <font>
      <b/>
      <sz val="16"/>
      <name val="Calibri"/>
      <family val="2"/>
    </font>
    <font>
      <sz val="11"/>
      <color rgb="FF000000"/>
      <name val="Arial2"/>
    </font>
    <font>
      <b/>
      <sz val="10"/>
      <color rgb="FF000000"/>
      <name val="Arial2"/>
    </font>
    <font>
      <sz val="10"/>
      <color rgb="FFFFFFFF"/>
      <name val="Arial2"/>
    </font>
    <font>
      <sz val="10"/>
      <color rgb="FFCC0000"/>
      <name val="Arial2"/>
    </font>
    <font>
      <b/>
      <sz val="10"/>
      <color rgb="FFFFFFFF"/>
      <name val="Arial2"/>
    </font>
    <font>
      <sz val="10"/>
      <color rgb="FF000000"/>
      <name val="Arial2"/>
    </font>
    <font>
      <i/>
      <sz val="10"/>
      <color rgb="FF808080"/>
      <name val="Arial2"/>
    </font>
    <font>
      <sz val="10"/>
      <color rgb="FF006600"/>
      <name val="Arial2"/>
    </font>
    <font>
      <b/>
      <sz val="24"/>
      <color rgb="FF000000"/>
      <name val="Arial2"/>
    </font>
    <font>
      <sz val="18"/>
      <color rgb="FF000000"/>
      <name val="Arial2"/>
    </font>
    <font>
      <sz val="12"/>
      <color rgb="FF000000"/>
      <name val="Arial2"/>
    </font>
    <font>
      <u/>
      <sz val="10"/>
      <color rgb="FF0000EE"/>
      <name val="Arial2"/>
    </font>
    <font>
      <sz val="10"/>
      <color rgb="FF996600"/>
      <name val="Arial2"/>
    </font>
    <font>
      <sz val="10"/>
      <color rgb="FF333333"/>
      <name val="Arial2"/>
    </font>
    <font>
      <b/>
      <i/>
      <u/>
      <sz val="10"/>
      <color rgb="FF000000"/>
      <name val="Arial2"/>
    </font>
    <font>
      <b/>
      <sz val="18"/>
      <name val="Calibri"/>
      <family val="2"/>
    </font>
    <font>
      <b/>
      <sz val="14"/>
      <color indexed="8"/>
      <name val="Times New Roman"/>
      <family val="1"/>
    </font>
    <font>
      <b/>
      <sz val="11"/>
      <name val="Calibri"/>
      <family val="2"/>
      <scheme val="minor"/>
    </font>
    <font>
      <sz val="11"/>
      <name val="Calibri"/>
      <family val="2"/>
      <scheme val="minor"/>
    </font>
    <font>
      <sz val="12"/>
      <color rgb="FFFF0000"/>
      <name val="Calibri"/>
      <family val="2"/>
      <charset val="1"/>
    </font>
    <font>
      <sz val="10"/>
      <color indexed="8"/>
      <name val="Calibri"/>
      <family val="2"/>
      <scheme val="minor"/>
    </font>
    <font>
      <b/>
      <sz val="18"/>
      <color indexed="8"/>
      <name val="Calibri"/>
      <family val="2"/>
    </font>
    <font>
      <sz val="12"/>
      <color rgb="FF000000"/>
      <name val="Calibri"/>
      <family val="2"/>
    </font>
    <font>
      <sz val="12"/>
      <color indexed="8"/>
      <name val="Calibri"/>
      <family val="2"/>
    </font>
    <font>
      <sz val="11"/>
      <color rgb="FFED0000"/>
      <name val="Calibri"/>
      <family val="2"/>
      <charset val="1"/>
    </font>
    <font>
      <b/>
      <sz val="11"/>
      <color rgb="FFED0000"/>
      <name val="Calibri"/>
      <family val="2"/>
    </font>
    <font>
      <sz val="11"/>
      <color rgb="FFFF0000"/>
      <name val="Calibri"/>
      <family val="2"/>
      <charset val="1"/>
    </font>
    <font>
      <sz val="12"/>
      <name val="Calibri"/>
      <family val="2"/>
    </font>
    <font>
      <sz val="12"/>
      <name val="Calibri"/>
      <family val="2"/>
      <charset val="1"/>
    </font>
    <font>
      <sz val="10"/>
      <name val="Calibri"/>
      <family val="2"/>
      <charset val="1"/>
    </font>
    <font>
      <b/>
      <sz val="12"/>
      <color indexed="8"/>
      <name val="Arial Narrow"/>
      <family val="2"/>
    </font>
    <font>
      <sz val="12"/>
      <color indexed="8"/>
      <name val="Arial Narrow"/>
      <family val="2"/>
    </font>
    <font>
      <sz val="14"/>
      <color indexed="8"/>
      <name val="Calibri"/>
      <family val="2"/>
    </font>
    <font>
      <sz val="9"/>
      <color indexed="8"/>
      <name val="Calibri"/>
      <family val="2"/>
    </font>
  </fonts>
  <fills count="85">
    <fill>
      <patternFill patternType="none"/>
    </fill>
    <fill>
      <patternFill patternType="gray125"/>
    </fill>
    <fill>
      <patternFill patternType="solid">
        <fgColor indexed="50"/>
        <bgColor indexed="2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4.9989318521683403E-2"/>
        <bgColor indexed="61"/>
      </patternFill>
    </fill>
    <fill>
      <patternFill patternType="solid">
        <fgColor theme="0" tint="-0.14999847407452621"/>
        <bgColor indexed="22"/>
      </patternFill>
    </fill>
    <fill>
      <patternFill patternType="solid">
        <fgColor theme="0" tint="-0.14999847407452621"/>
        <bgColor indexed="34"/>
      </patternFill>
    </fill>
    <fill>
      <patternFill patternType="solid">
        <fgColor theme="0" tint="-0.14999847407452621"/>
        <bgColor indexed="49"/>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49"/>
      </patternFill>
    </fill>
    <fill>
      <patternFill patternType="solid">
        <fgColor theme="0" tint="-0.14999847407452621"/>
        <bgColor indexed="61"/>
      </patternFill>
    </fill>
    <fill>
      <patternFill patternType="solid">
        <fgColor theme="0"/>
        <bgColor theme="0"/>
      </patternFill>
    </fill>
    <fill>
      <patternFill patternType="solid">
        <fgColor rgb="FFFFC000"/>
        <bgColor rgb="FFC27BA0"/>
      </patternFill>
    </fill>
    <fill>
      <patternFill patternType="solid">
        <fgColor theme="9" tint="0.79998168889431442"/>
        <bgColor indexed="64"/>
      </patternFill>
    </fill>
    <fill>
      <patternFill patternType="solid">
        <fgColor rgb="FF92D050"/>
        <bgColor rgb="FFB8CCE4"/>
      </patternFill>
    </fill>
    <fill>
      <patternFill patternType="solid">
        <fgColor rgb="FF92D050"/>
        <bgColor indexed="34"/>
      </patternFill>
    </fill>
    <fill>
      <patternFill patternType="solid">
        <fgColor theme="9" tint="0.79998168889431442"/>
        <bgColor indexed="49"/>
      </patternFill>
    </fill>
    <fill>
      <patternFill patternType="solid">
        <fgColor theme="5" tint="0.59999389629810485"/>
        <bgColor indexed="22"/>
      </patternFill>
    </fill>
    <fill>
      <patternFill patternType="solid">
        <fgColor theme="5" tint="0.39997558519241921"/>
        <bgColor indexed="64"/>
      </patternFill>
    </fill>
    <fill>
      <patternFill patternType="solid">
        <fgColor theme="5" tint="0.39997558519241921"/>
        <bgColor indexed="22"/>
      </patternFill>
    </fill>
    <fill>
      <patternFill patternType="solid">
        <fgColor rgb="FFFF99FF"/>
        <bgColor indexed="64"/>
      </patternFill>
    </fill>
    <fill>
      <patternFill patternType="solid">
        <fgColor theme="5" tint="0.59999389629810485"/>
        <bgColor indexed="34"/>
      </patternFill>
    </fill>
    <fill>
      <patternFill patternType="solid">
        <fgColor rgb="FFF84ACA"/>
        <bgColor indexed="64"/>
      </patternFill>
    </fill>
    <fill>
      <patternFill patternType="solid">
        <fgColor rgb="FFFFCCFF"/>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8" tint="0.39997558519241921"/>
        <bgColor indexed="22"/>
      </patternFill>
    </fill>
    <fill>
      <patternFill patternType="solid">
        <fgColor theme="9" tint="0.39997558519241921"/>
        <bgColor indexed="22"/>
      </patternFill>
    </fill>
    <fill>
      <patternFill patternType="solid">
        <fgColor theme="9" tint="0.79998168889431442"/>
        <bgColor indexed="22"/>
      </patternFill>
    </fill>
    <fill>
      <patternFill patternType="solid">
        <fgColor theme="7" tint="0.39997558519241921"/>
        <bgColor indexed="22"/>
      </patternFill>
    </fill>
    <fill>
      <patternFill patternType="solid">
        <fgColor rgb="FFFFCCFF"/>
        <bgColor indexed="22"/>
      </patternFill>
    </fill>
    <fill>
      <patternFill patternType="solid">
        <fgColor rgb="FFEFE2F0"/>
        <bgColor indexed="49"/>
      </patternFill>
    </fill>
    <fill>
      <patternFill patternType="solid">
        <fgColor rgb="FFEFE2F0"/>
        <bgColor indexed="22"/>
      </patternFill>
    </fill>
    <fill>
      <patternFill patternType="solid">
        <fgColor theme="2" tint="-0.499984740745262"/>
        <bgColor indexed="22"/>
      </patternFill>
    </fill>
    <fill>
      <patternFill patternType="solid">
        <fgColor rgb="FFF8FEA8"/>
        <bgColor indexed="22"/>
      </patternFill>
    </fill>
    <fill>
      <patternFill patternType="solid">
        <fgColor rgb="FFF8FEA8"/>
        <bgColor indexed="64"/>
      </patternFill>
    </fill>
    <fill>
      <patternFill patternType="solid">
        <fgColor theme="6" tint="0.79998168889431442"/>
        <bgColor indexed="64"/>
      </patternFill>
    </fill>
    <fill>
      <patternFill patternType="solid">
        <fgColor rgb="FFFFCCFF"/>
        <bgColor indexed="34"/>
      </patternFill>
    </fill>
    <fill>
      <patternFill patternType="solid">
        <fgColor theme="7" tint="0.39997558519241921"/>
        <bgColor indexed="64"/>
      </patternFill>
    </fill>
    <fill>
      <patternFill patternType="solid">
        <fgColor theme="7" tint="0.39997558519241921"/>
        <bgColor indexed="34"/>
      </patternFill>
    </fill>
    <fill>
      <patternFill patternType="solid">
        <fgColor theme="9" tint="0.39997558519241921"/>
        <bgColor indexed="64"/>
      </patternFill>
    </fill>
    <fill>
      <patternFill patternType="solid">
        <fgColor theme="9" tint="0.39997558519241921"/>
        <bgColor indexed="34"/>
      </patternFill>
    </fill>
    <fill>
      <patternFill patternType="solid">
        <fgColor theme="8" tint="0.39997558519241921"/>
        <bgColor indexed="64"/>
      </patternFill>
    </fill>
    <fill>
      <patternFill patternType="solid">
        <fgColor theme="8" tint="0.39997558519241921"/>
        <bgColor indexed="34"/>
      </patternFill>
    </fill>
    <fill>
      <patternFill patternType="solid">
        <fgColor rgb="FFF8FEA8"/>
        <bgColor indexed="34"/>
      </patternFill>
    </fill>
    <fill>
      <patternFill patternType="solid">
        <fgColor theme="2" tint="-0.499984740745262"/>
        <bgColor indexed="64"/>
      </patternFill>
    </fill>
    <fill>
      <patternFill patternType="solid">
        <fgColor theme="2" tint="-0.499984740745262"/>
        <bgColor indexed="34"/>
      </patternFill>
    </fill>
    <fill>
      <patternFill patternType="solid">
        <fgColor theme="5" tint="0.39997558519241921"/>
        <bgColor indexed="3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1" tint="0.499984740745262"/>
        <bgColor indexed="22"/>
      </patternFill>
    </fill>
    <fill>
      <patternFill patternType="solid">
        <fgColor theme="1" tint="0.499984740745262"/>
        <bgColor indexed="64"/>
      </patternFill>
    </fill>
    <fill>
      <patternFill patternType="solid">
        <fgColor theme="1" tint="0.499984740745262"/>
        <bgColor indexed="3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5" tint="0.59999389629810485"/>
        <bgColor indexed="64"/>
      </patternFill>
    </fill>
  </fills>
  <borders count="93">
    <border>
      <left/>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64"/>
      </top>
      <bottom/>
      <diagonal/>
    </border>
    <border>
      <left style="thin">
        <color rgb="FF808080"/>
      </left>
      <right style="thin">
        <color rgb="FF808080"/>
      </right>
      <top style="thin">
        <color rgb="FF808080"/>
      </top>
      <bottom style="thin">
        <color rgb="FF808080"/>
      </bottom>
      <diagonal/>
    </border>
    <border>
      <left/>
      <right style="thin">
        <color indexed="8"/>
      </right>
      <top/>
      <bottom style="thin">
        <color indexed="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146">
    <xf numFmtId="0" fontId="0" fillId="0" borderId="0"/>
    <xf numFmtId="169" fontId="10" fillId="0" borderId="0" applyBorder="0" applyProtection="0"/>
    <xf numFmtId="167" fontId="5" fillId="0" borderId="0"/>
    <xf numFmtId="165" fontId="10" fillId="0" borderId="0" applyBorder="0" applyProtection="0"/>
    <xf numFmtId="165" fontId="10" fillId="0" borderId="0" applyFill="0" applyBorder="0" applyAlignment="0" applyProtection="0"/>
    <xf numFmtId="166" fontId="10" fillId="0" borderId="0" applyFill="0" applyBorder="0" applyAlignment="0" applyProtection="0"/>
    <xf numFmtId="0" fontId="5" fillId="0" borderId="0"/>
    <xf numFmtId="0" fontId="6" fillId="0" borderId="0"/>
    <xf numFmtId="9" fontId="10" fillId="0" borderId="0" applyBorder="0" applyProtection="0"/>
    <xf numFmtId="9" fontId="5" fillId="0" borderId="0"/>
    <xf numFmtId="9" fontId="10" fillId="0" borderId="0" applyFill="0" applyBorder="0" applyAlignment="0" applyProtection="0"/>
    <xf numFmtId="0" fontId="14" fillId="0" borderId="0"/>
    <xf numFmtId="170" fontId="14" fillId="0" borderId="0" applyFont="0" applyFill="0" applyBorder="0" applyAlignment="0" applyProtection="0"/>
    <xf numFmtId="0" fontId="14" fillId="0" borderId="0"/>
    <xf numFmtId="0" fontId="14" fillId="0" borderId="0"/>
    <xf numFmtId="43" fontId="14" fillId="0" borderId="0" applyFont="0" applyFill="0" applyBorder="0" applyAlignment="0" applyProtection="0"/>
    <xf numFmtId="43" fontId="26" fillId="0" borderId="0" applyFont="0" applyFill="0" applyBorder="0" applyAlignment="0" applyProtection="0"/>
    <xf numFmtId="0" fontId="27" fillId="0" borderId="0"/>
    <xf numFmtId="9" fontId="14" fillId="0" borderId="0" applyFont="0" applyFill="0" applyBorder="0" applyAlignment="0" applyProtection="0"/>
    <xf numFmtId="43" fontId="27" fillId="0" borderId="0" applyFont="0" applyFill="0" applyBorder="0" applyAlignment="0" applyProtection="0"/>
    <xf numFmtId="172" fontId="14" fillId="0" borderId="0" applyFont="0" applyFill="0" applyBorder="0" applyAlignment="0" applyProtection="0"/>
    <xf numFmtId="173" fontId="14" fillId="0" borderId="0" applyFont="0" applyFill="0" applyBorder="0" applyAlignment="0" applyProtection="0"/>
    <xf numFmtId="43" fontId="14" fillId="0" borderId="0" applyFont="0" applyFill="0" applyBorder="0" applyAlignment="0" applyProtection="0"/>
    <xf numFmtId="172" fontId="27" fillId="0" borderId="0" applyFont="0" applyFill="0" applyBorder="0" applyAlignment="0" applyProtection="0"/>
    <xf numFmtId="43" fontId="10" fillId="0" borderId="0" applyFont="0" applyFill="0" applyBorder="0" applyAlignment="0" applyProtection="0"/>
    <xf numFmtId="0" fontId="4" fillId="0" borderId="0"/>
    <xf numFmtId="0" fontId="5" fillId="5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61" borderId="0" applyNumberFormat="0" applyBorder="0" applyAlignment="0" applyProtection="0"/>
    <xf numFmtId="0" fontId="56" fillId="62" borderId="0" applyNumberFormat="0" applyBorder="0" applyAlignment="0" applyProtection="0"/>
    <xf numFmtId="0" fontId="56" fillId="59" borderId="0" applyNumberFormat="0" applyBorder="0" applyAlignment="0" applyProtection="0"/>
    <xf numFmtId="0" fontId="56" fillId="60" borderId="0" applyNumberFormat="0" applyBorder="0" applyAlignment="0" applyProtection="0"/>
    <xf numFmtId="0" fontId="56" fillId="63" borderId="0" applyNumberFormat="0" applyBorder="0" applyAlignment="0" applyProtection="0"/>
    <xf numFmtId="0" fontId="56" fillId="64" borderId="0" applyNumberFormat="0" applyBorder="0" applyAlignment="0" applyProtection="0"/>
    <xf numFmtId="0" fontId="56" fillId="65" borderId="0" applyNumberFormat="0" applyBorder="0" applyAlignment="0" applyProtection="0"/>
    <xf numFmtId="0" fontId="57" fillId="54" borderId="0" applyNumberFormat="0" applyBorder="0" applyAlignment="0" applyProtection="0"/>
    <xf numFmtId="0" fontId="58" fillId="66" borderId="39" applyNumberFormat="0" applyAlignment="0" applyProtection="0"/>
    <xf numFmtId="0" fontId="71" fillId="0" borderId="0"/>
    <xf numFmtId="0" fontId="59" fillId="67" borderId="40" applyNumberFormat="0" applyAlignment="0" applyProtection="0"/>
    <xf numFmtId="0" fontId="60" fillId="0" borderId="41" applyNumberFormat="0" applyFill="0" applyAlignment="0" applyProtection="0"/>
    <xf numFmtId="0" fontId="56" fillId="68" borderId="0" applyNumberFormat="0" applyBorder="0" applyAlignment="0" applyProtection="0"/>
    <xf numFmtId="0" fontId="56" fillId="69" borderId="0" applyNumberFormat="0" applyBorder="0" applyAlignment="0" applyProtection="0"/>
    <xf numFmtId="0" fontId="56" fillId="70" borderId="0" applyNumberFormat="0" applyBorder="0" applyAlignment="0" applyProtection="0"/>
    <xf numFmtId="0" fontId="56" fillId="63" borderId="0" applyNumberFormat="0" applyBorder="0" applyAlignment="0" applyProtection="0"/>
    <xf numFmtId="0" fontId="56" fillId="64" borderId="0" applyNumberFormat="0" applyBorder="0" applyAlignment="0" applyProtection="0"/>
    <xf numFmtId="0" fontId="56" fillId="71" borderId="0" applyNumberFormat="0" applyBorder="0" applyAlignment="0" applyProtection="0"/>
    <xf numFmtId="0" fontId="61" fillId="57" borderId="39" applyNumberFormat="0" applyAlignment="0" applyProtection="0"/>
    <xf numFmtId="0" fontId="62" fillId="53" borderId="0" applyNumberFormat="0" applyBorder="0" applyAlignment="0" applyProtection="0"/>
    <xf numFmtId="0" fontId="63" fillId="72" borderId="0" applyNumberFormat="0" applyBorder="0" applyAlignment="0" applyProtection="0"/>
    <xf numFmtId="0" fontId="14" fillId="73" borderId="42" applyNumberFormat="0" applyAlignment="0" applyProtection="0"/>
    <xf numFmtId="9" fontId="14" fillId="0" borderId="0" applyFill="0" applyBorder="0" applyAlignment="0" applyProtection="0"/>
    <xf numFmtId="0" fontId="64" fillId="66" borderId="43" applyNumberFormat="0" applyAlignment="0" applyProtection="0"/>
    <xf numFmtId="179" fontId="14" fillId="0" borderId="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44" applyNumberFormat="0" applyFill="0" applyAlignment="0" applyProtection="0"/>
    <xf numFmtId="0" fontId="69" fillId="0" borderId="45" applyNumberFormat="0" applyFill="0" applyAlignment="0" applyProtection="0"/>
    <xf numFmtId="0" fontId="70" fillId="0" borderId="46" applyNumberFormat="0" applyFill="0" applyAlignment="0" applyProtection="0"/>
    <xf numFmtId="0" fontId="70" fillId="0" borderId="0" applyNumberFormat="0" applyFill="0" applyBorder="0" applyAlignment="0" applyProtection="0"/>
    <xf numFmtId="0" fontId="9" fillId="0" borderId="47" applyNumberFormat="0" applyFill="0" applyAlignment="0" applyProtection="0"/>
    <xf numFmtId="0" fontId="3" fillId="0" borderId="0"/>
    <xf numFmtId="16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77" fillId="0" borderId="0"/>
    <xf numFmtId="0" fontId="78" fillId="0" borderId="0"/>
    <xf numFmtId="0" fontId="79" fillId="77" borderId="0"/>
    <xf numFmtId="0" fontId="79" fillId="78" borderId="0"/>
    <xf numFmtId="0" fontId="78" fillId="79" borderId="0"/>
    <xf numFmtId="0" fontId="80" fillId="80" borderId="0"/>
    <xf numFmtId="0" fontId="81" fillId="81" borderId="0"/>
    <xf numFmtId="181" fontId="77" fillId="0" borderId="0"/>
    <xf numFmtId="180" fontId="82" fillId="0" borderId="0"/>
    <xf numFmtId="9" fontId="82" fillId="0" borderId="0"/>
    <xf numFmtId="0" fontId="51" fillId="0" borderId="0"/>
    <xf numFmtId="0" fontId="83" fillId="0" borderId="0"/>
    <xf numFmtId="0" fontId="84" fillId="82" borderId="0"/>
    <xf numFmtId="0" fontId="77" fillId="0" borderId="0"/>
    <xf numFmtId="0" fontId="85" fillId="0" borderId="0"/>
    <xf numFmtId="0" fontId="86" fillId="0" borderId="0"/>
    <xf numFmtId="0" fontId="87" fillId="0" borderId="0"/>
    <xf numFmtId="0" fontId="88" fillId="0" borderId="0"/>
    <xf numFmtId="0" fontId="89" fillId="83" borderId="0"/>
    <xf numFmtId="0" fontId="74" fillId="0" borderId="0"/>
    <xf numFmtId="0" fontId="90" fillId="83" borderId="69"/>
    <xf numFmtId="0" fontId="91" fillId="0" borderId="0"/>
    <xf numFmtId="0" fontId="77" fillId="0" borderId="0"/>
    <xf numFmtId="0" fontId="77" fillId="0" borderId="0"/>
    <xf numFmtId="0" fontId="80"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64" fillId="66" borderId="88" applyNumberFormat="0" applyAlignment="0" applyProtection="0"/>
    <xf numFmtId="43" fontId="14" fillId="0" borderId="0" applyFont="0" applyFill="0" applyBorder="0" applyAlignment="0" applyProtection="0"/>
    <xf numFmtId="43" fontId="1" fillId="0" borderId="0" applyFont="0" applyFill="0" applyBorder="0" applyAlignment="0" applyProtection="0"/>
    <xf numFmtId="0" fontId="58" fillId="66" borderId="82" applyNumberFormat="0" applyAlignment="0" applyProtection="0"/>
    <xf numFmtId="43" fontId="27"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0" fontId="9" fillId="0" borderId="89" applyNumberFormat="0" applyFill="0" applyAlignment="0" applyProtection="0"/>
    <xf numFmtId="0" fontId="9" fillId="0" borderId="81" applyNumberFormat="0" applyFill="0" applyAlignment="0" applyProtection="0"/>
    <xf numFmtId="0" fontId="58" fillId="66" borderId="71" applyNumberFormat="0" applyAlignment="0" applyProtection="0"/>
    <xf numFmtId="0" fontId="64" fillId="66" borderId="80" applyNumberFormat="0" applyAlignment="0" applyProtection="0"/>
    <xf numFmtId="0" fontId="14" fillId="73" borderId="79" applyNumberFormat="0" applyAlignment="0" applyProtection="0"/>
    <xf numFmtId="0" fontId="61" fillId="57" borderId="78" applyNumberFormat="0" applyAlignment="0" applyProtection="0"/>
    <xf numFmtId="0" fontId="61" fillId="57" borderId="71" applyNumberFormat="0" applyAlignment="0" applyProtection="0"/>
    <xf numFmtId="0" fontId="14" fillId="73" borderId="72" applyNumberFormat="0" applyAlignment="0" applyProtection="0"/>
    <xf numFmtId="0" fontId="64" fillId="66" borderId="73" applyNumberFormat="0" applyAlignment="0" applyProtection="0"/>
    <xf numFmtId="0" fontId="61" fillId="57" borderId="82" applyNumberFormat="0" applyAlignment="0" applyProtection="0"/>
    <xf numFmtId="0" fontId="9" fillId="0" borderId="74" applyNumberFormat="0" applyFill="0" applyAlignment="0" applyProtection="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9" fillId="0" borderId="85" applyNumberFormat="0" applyFill="0" applyAlignment="0" applyProtection="0"/>
    <xf numFmtId="0" fontId="58" fillId="66" borderId="86" applyNumberFormat="0" applyAlignment="0" applyProtection="0"/>
    <xf numFmtId="0" fontId="58" fillId="66" borderId="78" applyNumberFormat="0" applyAlignment="0" applyProtection="0"/>
    <xf numFmtId="0" fontId="14" fillId="73" borderId="87" applyNumberFormat="0" applyAlignment="0" applyProtection="0"/>
    <xf numFmtId="0" fontId="61" fillId="57" borderId="86" applyNumberFormat="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64" fillId="66" borderId="84" applyNumberFormat="0" applyAlignment="0" applyProtection="0"/>
    <xf numFmtId="0" fontId="14" fillId="73" borderId="83" applyNumberFormat="0" applyAlignment="0" applyProtection="0"/>
  </cellStyleXfs>
  <cellXfs count="760">
    <xf numFmtId="0" fontId="0" fillId="0" borderId="0" xfId="0"/>
    <xf numFmtId="0" fontId="8" fillId="0" borderId="0" xfId="0" applyFont="1"/>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5" fillId="0" borderId="0" xfId="0" applyFont="1" applyAlignment="1">
      <alignment vertical="center" wrapText="1"/>
    </xf>
    <xf numFmtId="0" fontId="9" fillId="0" borderId="0" xfId="0" applyFont="1" applyAlignment="1">
      <alignment horizontal="center" vertical="center"/>
    </xf>
    <xf numFmtId="0" fontId="5" fillId="0" borderId="0" xfId="0" applyFont="1" applyAlignment="1">
      <alignment vertical="center"/>
    </xf>
    <xf numFmtId="0" fontId="9" fillId="3" borderId="2" xfId="0" applyFont="1" applyFill="1" applyBorder="1" applyAlignment="1">
      <alignment horizontal="center" vertical="center"/>
    </xf>
    <xf numFmtId="0" fontId="9" fillId="3" borderId="8"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5" fillId="5" borderId="8" xfId="0" applyFont="1" applyFill="1" applyBorder="1" applyAlignment="1" applyProtection="1">
      <alignment vertical="center" wrapText="1"/>
      <protection locked="0"/>
    </xf>
    <xf numFmtId="0" fontId="5" fillId="0" borderId="0" xfId="0" applyFont="1" applyAlignment="1">
      <alignment horizontal="left" vertical="center" wrapText="1"/>
    </xf>
    <xf numFmtId="0" fontId="9" fillId="4" borderId="3"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3" borderId="4" xfId="0" applyFont="1" applyFill="1" applyBorder="1" applyAlignment="1">
      <alignment horizontal="center" vertical="center"/>
    </xf>
    <xf numFmtId="0" fontId="5" fillId="3" borderId="4" xfId="0" applyFont="1" applyFill="1" applyBorder="1" applyAlignment="1">
      <alignment horizontal="justify" vertical="center" wrapText="1"/>
    </xf>
    <xf numFmtId="0" fontId="5" fillId="3" borderId="2" xfId="0" applyFont="1" applyFill="1" applyBorder="1" applyAlignment="1">
      <alignment horizontal="justify" vertical="center" wrapText="1"/>
    </xf>
    <xf numFmtId="0" fontId="5" fillId="3" borderId="8" xfId="0" applyFont="1" applyFill="1" applyBorder="1" applyAlignment="1" applyProtection="1">
      <alignment vertical="center" wrapText="1"/>
      <protection locked="0"/>
    </xf>
    <xf numFmtId="0" fontId="9"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9" fillId="4" borderId="3" xfId="0" applyFont="1" applyFill="1" applyBorder="1" applyAlignment="1">
      <alignment horizontal="justify" vertical="center" wrapText="1"/>
    </xf>
    <xf numFmtId="0" fontId="9" fillId="4" borderId="8" xfId="0" applyFont="1" applyFill="1" applyBorder="1" applyAlignment="1">
      <alignment horizontal="center" vertical="center"/>
    </xf>
    <xf numFmtId="0" fontId="5" fillId="3" borderId="5" xfId="0" applyFont="1" applyFill="1" applyBorder="1" applyAlignment="1">
      <alignment horizontal="justify" vertical="center" wrapText="1"/>
    </xf>
    <xf numFmtId="0" fontId="9" fillId="3" borderId="2" xfId="0" applyFont="1" applyFill="1" applyBorder="1" applyAlignment="1">
      <alignment horizontal="center" vertical="center" wrapText="1"/>
    </xf>
    <xf numFmtId="0" fontId="5" fillId="0" borderId="0" xfId="0" applyFont="1" applyAlignment="1">
      <alignment horizontal="center" vertical="center"/>
    </xf>
    <xf numFmtId="0" fontId="9" fillId="3" borderId="9" xfId="0" applyFont="1" applyFill="1" applyBorder="1" applyAlignment="1">
      <alignment horizontal="center" vertical="center"/>
    </xf>
    <xf numFmtId="0" fontId="5" fillId="3" borderId="14" xfId="0" applyFont="1" applyFill="1" applyBorder="1" applyAlignment="1">
      <alignment vertical="center"/>
    </xf>
    <xf numFmtId="14" fontId="11" fillId="3" borderId="10" xfId="0" applyNumberFormat="1" applyFont="1" applyFill="1" applyBorder="1" applyAlignment="1" applyProtection="1">
      <alignment horizontal="center" vertical="center"/>
      <protection locked="0"/>
    </xf>
    <xf numFmtId="0" fontId="9" fillId="3" borderId="5" xfId="0" applyFont="1" applyFill="1" applyBorder="1" applyAlignment="1">
      <alignment horizontal="center" vertical="center"/>
    </xf>
    <xf numFmtId="0" fontId="5" fillId="3" borderId="12" xfId="0" applyFont="1" applyFill="1" applyBorder="1" applyAlignment="1">
      <alignment vertical="center"/>
    </xf>
    <xf numFmtId="0" fontId="5" fillId="0" borderId="0" xfId="0" applyFont="1" applyAlignment="1">
      <alignment horizontal="left" vertical="center"/>
    </xf>
    <xf numFmtId="0" fontId="5" fillId="3" borderId="7" xfId="0" applyFont="1" applyFill="1" applyBorder="1" applyAlignment="1">
      <alignment vertical="center"/>
    </xf>
    <xf numFmtId="0" fontId="5" fillId="3" borderId="3" xfId="0" applyFont="1" applyFill="1" applyBorder="1" applyAlignment="1">
      <alignment horizontal="justify" vertical="center" wrapText="1"/>
    </xf>
    <xf numFmtId="0" fontId="9" fillId="0" borderId="0" xfId="0" applyFont="1" applyAlignment="1">
      <alignment horizontal="left" vertical="center" wrapText="1"/>
    </xf>
    <xf numFmtId="0" fontId="9" fillId="4" borderId="1" xfId="0" applyFont="1" applyFill="1" applyBorder="1" applyAlignment="1">
      <alignment horizontal="center" vertical="center" wrapText="1"/>
    </xf>
    <xf numFmtId="0" fontId="5" fillId="3" borderId="8" xfId="0" applyFont="1" applyFill="1" applyBorder="1" applyAlignment="1">
      <alignment horizontal="justify" vertical="center" wrapText="1"/>
    </xf>
    <xf numFmtId="0" fontId="9" fillId="3" borderId="4" xfId="0" applyFont="1" applyFill="1" applyBorder="1" applyAlignment="1">
      <alignment horizontal="center" vertical="center" wrapText="1"/>
    </xf>
    <xf numFmtId="0" fontId="9" fillId="3" borderId="8" xfId="0" applyFont="1" applyFill="1" applyBorder="1" applyAlignment="1">
      <alignment horizontal="center" vertical="center"/>
    </xf>
    <xf numFmtId="0" fontId="9" fillId="6" borderId="1" xfId="0" applyFont="1" applyFill="1" applyBorder="1" applyAlignment="1">
      <alignment horizontal="center" vertical="center"/>
    </xf>
    <xf numFmtId="0" fontId="9" fillId="4" borderId="8" xfId="0" applyFont="1" applyFill="1" applyBorder="1" applyAlignment="1">
      <alignment horizontal="justify" vertical="center" wrapText="1"/>
    </xf>
    <xf numFmtId="0" fontId="5" fillId="4" borderId="8" xfId="0" applyFont="1" applyFill="1" applyBorder="1" applyAlignment="1">
      <alignment horizontal="justify" vertical="center" wrapText="1"/>
    </xf>
    <xf numFmtId="0" fontId="16" fillId="0" borderId="0" xfId="11" applyFont="1" applyAlignment="1">
      <alignment vertical="center" wrapText="1"/>
    </xf>
    <xf numFmtId="0" fontId="17" fillId="0" borderId="8" xfId="11" applyFont="1" applyBorder="1" applyAlignment="1">
      <alignment horizontal="center" vertical="center" wrapText="1"/>
    </xf>
    <xf numFmtId="0" fontId="16" fillId="0" borderId="20" xfId="11" applyFont="1" applyBorder="1" applyAlignment="1">
      <alignment vertical="center" wrapText="1"/>
    </xf>
    <xf numFmtId="0" fontId="16" fillId="0" borderId="20" xfId="11" applyFont="1" applyBorder="1" applyAlignment="1">
      <alignment horizontal="center" vertical="center" wrapText="1"/>
    </xf>
    <xf numFmtId="170" fontId="16" fillId="0" borderId="8" xfId="12" applyFont="1" applyFill="1" applyBorder="1" applyAlignment="1">
      <alignment horizontal="left" vertical="center" wrapText="1"/>
    </xf>
    <xf numFmtId="0" fontId="17" fillId="9" borderId="0" xfId="11" applyFont="1" applyFill="1" applyAlignment="1">
      <alignment vertical="center" wrapText="1"/>
    </xf>
    <xf numFmtId="0" fontId="17" fillId="0" borderId="21" xfId="11" applyFont="1" applyBorder="1" applyAlignment="1">
      <alignment horizontal="left" vertical="center" wrapText="1"/>
    </xf>
    <xf numFmtId="10" fontId="17" fillId="0" borderId="21" xfId="11" applyNumberFormat="1" applyFont="1" applyBorder="1" applyAlignment="1">
      <alignment horizontal="right" vertical="center" wrapText="1"/>
    </xf>
    <xf numFmtId="170" fontId="17" fillId="0" borderId="21" xfId="12" applyFont="1" applyFill="1" applyBorder="1" applyAlignment="1">
      <alignment horizontal="right" vertical="center" wrapText="1"/>
    </xf>
    <xf numFmtId="0" fontId="18" fillId="0" borderId="22" xfId="11" applyFont="1" applyBorder="1" applyAlignment="1">
      <alignment vertical="center" wrapText="1"/>
    </xf>
    <xf numFmtId="4" fontId="18" fillId="0" borderId="0" xfId="11" applyNumberFormat="1" applyFont="1" applyAlignment="1">
      <alignment horizontal="right" vertical="center" wrapText="1"/>
    </xf>
    <xf numFmtId="0" fontId="18" fillId="0" borderId="23" xfId="11" applyFont="1" applyBorder="1" applyAlignment="1">
      <alignment vertical="center" wrapText="1"/>
    </xf>
    <xf numFmtId="0" fontId="16" fillId="0" borderId="23" xfId="11" applyFont="1" applyBorder="1" applyAlignment="1">
      <alignment vertical="center" wrapText="1"/>
    </xf>
    <xf numFmtId="0" fontId="16" fillId="0" borderId="24" xfId="11" applyFont="1" applyBorder="1" applyAlignment="1">
      <alignment horizontal="left" vertical="center" wrapText="1"/>
    </xf>
    <xf numFmtId="0" fontId="0" fillId="0" borderId="25" xfId="0" applyBorder="1"/>
    <xf numFmtId="0" fontId="16" fillId="0" borderId="25" xfId="11" applyFont="1" applyBorder="1" applyAlignment="1">
      <alignment horizontal="left" vertical="center" wrapText="1"/>
    </xf>
    <xf numFmtId="0" fontId="19" fillId="0" borderId="26" xfId="11" applyFont="1" applyBorder="1" applyAlignment="1">
      <alignment horizontal="left" vertical="center" wrapText="1"/>
    </xf>
    <xf numFmtId="0" fontId="17" fillId="0" borderId="0" xfId="11" applyFont="1" applyAlignment="1">
      <alignment horizontal="left" vertical="center" wrapText="1"/>
    </xf>
    <xf numFmtId="10" fontId="17" fillId="0" borderId="0" xfId="11" applyNumberFormat="1" applyFont="1" applyAlignment="1">
      <alignment horizontal="right" vertical="center" wrapText="1"/>
    </xf>
    <xf numFmtId="170" fontId="16" fillId="9" borderId="8" xfId="12" applyFont="1" applyFill="1" applyBorder="1" applyAlignment="1">
      <alignment horizontal="left" vertical="center" wrapText="1"/>
    </xf>
    <xf numFmtId="0" fontId="17" fillId="0" borderId="0" xfId="11" applyFont="1" applyAlignment="1">
      <alignment horizontal="center" vertical="center" wrapText="1"/>
    </xf>
    <xf numFmtId="170" fontId="17" fillId="0" borderId="0" xfId="12" applyFont="1" applyFill="1" applyBorder="1" applyAlignment="1">
      <alignment horizontal="left" vertical="center" wrapText="1"/>
    </xf>
    <xf numFmtId="0" fontId="16" fillId="0" borderId="8" xfId="11" applyFont="1" applyBorder="1" applyAlignment="1">
      <alignment vertical="center" wrapText="1"/>
    </xf>
    <xf numFmtId="0" fontId="16" fillId="0" borderId="8" xfId="11" applyFont="1" applyBorder="1" applyAlignment="1">
      <alignment horizontal="center" vertical="center" wrapText="1"/>
    </xf>
    <xf numFmtId="0" fontId="17" fillId="0" borderId="14" xfId="11" applyFont="1" applyBorder="1" applyAlignment="1">
      <alignment horizontal="center" vertical="center" wrapText="1"/>
    </xf>
    <xf numFmtId="0" fontId="16" fillId="0" borderId="11" xfId="11" applyFont="1" applyBorder="1" applyAlignment="1">
      <alignment vertical="center" wrapText="1"/>
    </xf>
    <xf numFmtId="0" fontId="16" fillId="0" borderId="15" xfId="11" applyFont="1" applyBorder="1" applyAlignment="1">
      <alignment horizontal="center" vertical="center" wrapText="1"/>
    </xf>
    <xf numFmtId="170" fontId="16" fillId="0" borderId="11" xfId="12" applyFont="1" applyFill="1" applyBorder="1" applyAlignment="1">
      <alignment horizontal="left" vertical="center" wrapText="1"/>
    </xf>
    <xf numFmtId="10" fontId="17" fillId="0" borderId="0" xfId="12" applyNumberFormat="1" applyFont="1" applyFill="1" applyBorder="1" applyAlignment="1">
      <alignment horizontal="right" vertical="center" wrapText="1"/>
    </xf>
    <xf numFmtId="0" fontId="18" fillId="0" borderId="0" xfId="11" applyFont="1" applyAlignment="1">
      <alignment horizontal="left" vertical="center" wrapText="1"/>
    </xf>
    <xf numFmtId="0" fontId="16" fillId="0" borderId="22" xfId="11" applyFont="1" applyBorder="1" applyAlignment="1">
      <alignment vertical="center" wrapText="1"/>
    </xf>
    <xf numFmtId="10" fontId="16" fillId="0" borderId="0" xfId="11" applyNumberFormat="1" applyFont="1" applyAlignment="1">
      <alignment vertical="center" wrapText="1"/>
    </xf>
    <xf numFmtId="10" fontId="17" fillId="0" borderId="25" xfId="11" applyNumberFormat="1" applyFont="1" applyBorder="1" applyAlignment="1">
      <alignment vertical="center" wrapText="1"/>
    </xf>
    <xf numFmtId="0" fontId="16" fillId="0" borderId="25" xfId="11" applyFont="1" applyBorder="1" applyAlignment="1">
      <alignment vertical="center" wrapText="1"/>
    </xf>
    <xf numFmtId="10" fontId="17" fillId="0" borderId="0" xfId="11" applyNumberFormat="1" applyFont="1" applyAlignment="1">
      <alignment vertical="center" wrapText="1"/>
    </xf>
    <xf numFmtId="0" fontId="20" fillId="0" borderId="0" xfId="11" applyFont="1" applyAlignment="1">
      <alignment horizontal="left" vertical="center" wrapText="1"/>
    </xf>
    <xf numFmtId="4" fontId="0" fillId="0" borderId="0" xfId="0" applyNumberFormat="1" applyAlignment="1">
      <alignment horizontal="center" vertical="center"/>
    </xf>
    <xf numFmtId="44" fontId="0" fillId="0" borderId="0" xfId="0" applyNumberFormat="1"/>
    <xf numFmtId="0" fontId="16" fillId="0" borderId="22" xfId="11" applyFont="1" applyBorder="1" applyAlignment="1">
      <alignment horizontal="left" vertical="center" wrapText="1"/>
    </xf>
    <xf numFmtId="0" fontId="9" fillId="3" borderId="11" xfId="0" applyFont="1" applyFill="1" applyBorder="1" applyAlignment="1">
      <alignment horizontal="center" vertical="center" wrapText="1"/>
    </xf>
    <xf numFmtId="0" fontId="5" fillId="3" borderId="11" xfId="0" applyFont="1" applyFill="1" applyBorder="1" applyAlignment="1">
      <alignment horizontal="justify" vertical="center" wrapText="1"/>
    </xf>
    <xf numFmtId="0" fontId="30" fillId="0" borderId="0" xfId="0" applyFont="1" applyAlignment="1">
      <alignment horizontal="center" vertical="center"/>
    </xf>
    <xf numFmtId="0" fontId="7" fillId="0" borderId="0" xfId="0" applyFont="1" applyAlignment="1">
      <alignment horizontal="center" vertical="center"/>
    </xf>
    <xf numFmtId="44" fontId="18" fillId="0" borderId="0" xfId="11" applyNumberFormat="1" applyFont="1" applyAlignment="1">
      <alignment horizontal="center" vertical="center" wrapText="1"/>
    </xf>
    <xf numFmtId="0" fontId="5" fillId="3" borderId="8" xfId="0" applyFont="1" applyFill="1" applyBorder="1" applyAlignment="1">
      <alignment horizontal="center" vertical="center" wrapText="1"/>
    </xf>
    <xf numFmtId="0" fontId="23" fillId="0" borderId="8" xfId="0" applyFont="1" applyBorder="1" applyAlignment="1">
      <alignment horizontal="center" vertical="center" wrapText="1"/>
    </xf>
    <xf numFmtId="44" fontId="23" fillId="3" borderId="8" xfId="3" applyNumberFormat="1" applyFont="1" applyFill="1" applyBorder="1" applyAlignment="1" applyProtection="1">
      <alignment horizontal="center" vertical="center"/>
    </xf>
    <xf numFmtId="44" fontId="23" fillId="0" borderId="8" xfId="3" applyNumberFormat="1" applyFont="1" applyBorder="1" applyAlignment="1" applyProtection="1">
      <alignment horizontal="center" vertical="center"/>
    </xf>
    <xf numFmtId="0" fontId="23" fillId="0" borderId="0" xfId="0" applyFont="1" applyAlignment="1">
      <alignment horizontal="left" vertical="center" wrapText="1"/>
    </xf>
    <xf numFmtId="0" fontId="16" fillId="0" borderId="22" xfId="11" applyFont="1" applyBorder="1" applyAlignment="1">
      <alignment horizontal="justify" vertical="center" wrapText="1"/>
    </xf>
    <xf numFmtId="0" fontId="16" fillId="0" borderId="0" xfId="11" applyFont="1" applyAlignment="1">
      <alignment horizontal="justify" vertical="center" wrapText="1"/>
    </xf>
    <xf numFmtId="0" fontId="16" fillId="0" borderId="23" xfId="11" applyFont="1" applyBorder="1" applyAlignment="1">
      <alignment horizontal="justify" vertical="center" wrapText="1"/>
    </xf>
    <xf numFmtId="44" fontId="31" fillId="3" borderId="8" xfId="3" applyNumberFormat="1" applyFont="1" applyFill="1" applyBorder="1" applyAlignment="1" applyProtection="1">
      <alignment horizontal="center" vertical="center"/>
    </xf>
    <xf numFmtId="0" fontId="24" fillId="0" borderId="8" xfId="11" applyFont="1" applyBorder="1" applyAlignment="1">
      <alignment horizontal="center" vertical="center" wrapText="1"/>
    </xf>
    <xf numFmtId="0" fontId="23" fillId="0" borderId="0" xfId="0" applyFont="1"/>
    <xf numFmtId="0" fontId="33" fillId="0" borderId="8" xfId="25" applyFont="1" applyBorder="1" applyAlignment="1">
      <alignment horizontal="left" vertical="center" wrapText="1"/>
    </xf>
    <xf numFmtId="0" fontId="34" fillId="0" borderId="8" xfId="25" applyFont="1" applyBorder="1" applyAlignment="1">
      <alignment horizontal="center" vertical="center" wrapText="1"/>
    </xf>
    <xf numFmtId="0" fontId="34" fillId="14" borderId="0" xfId="25" applyFont="1" applyFill="1" applyAlignment="1">
      <alignment horizontal="center" vertical="center"/>
    </xf>
    <xf numFmtId="3" fontId="34" fillId="14" borderId="0" xfId="25" applyNumberFormat="1" applyFont="1" applyFill="1" applyAlignment="1">
      <alignment horizontal="center" vertical="center"/>
    </xf>
    <xf numFmtId="0" fontId="33" fillId="14" borderId="0" xfId="25" applyFont="1" applyFill="1" applyAlignment="1">
      <alignment horizontal="left" vertical="center"/>
    </xf>
    <xf numFmtId="0" fontId="7" fillId="0" borderId="0" xfId="0" applyFont="1" applyAlignment="1">
      <alignment horizontal="left" vertical="center"/>
    </xf>
    <xf numFmtId="0" fontId="34" fillId="0" borderId="20" xfId="25" applyFont="1" applyBorder="1" applyAlignment="1">
      <alignment horizontal="center" vertical="center" wrapText="1"/>
    </xf>
    <xf numFmtId="0" fontId="33" fillId="0" borderId="20" xfId="25" applyFont="1" applyBorder="1" applyAlignment="1">
      <alignment horizontal="left" vertical="center" wrapText="1"/>
    </xf>
    <xf numFmtId="0" fontId="28" fillId="0" borderId="12" xfId="0" applyFont="1" applyBorder="1" applyAlignment="1">
      <alignment horizontal="left" vertical="center" wrapText="1"/>
    </xf>
    <xf numFmtId="10" fontId="16" fillId="0" borderId="8" xfId="12" applyNumberFormat="1" applyFont="1" applyFill="1" applyBorder="1" applyAlignment="1">
      <alignment horizontal="right" vertical="center" wrapText="1"/>
    </xf>
    <xf numFmtId="10" fontId="16" fillId="9" borderId="8" xfId="8" applyNumberFormat="1" applyFont="1" applyFill="1" applyBorder="1" applyAlignment="1">
      <alignment horizontal="right" vertical="center" wrapText="1"/>
    </xf>
    <xf numFmtId="10" fontId="16" fillId="0" borderId="11" xfId="12" applyNumberFormat="1" applyFont="1" applyFill="1" applyBorder="1" applyAlignment="1">
      <alignment horizontal="right" vertical="center" wrapText="1"/>
    </xf>
    <xf numFmtId="0" fontId="39" fillId="3" borderId="8" xfId="0" applyFont="1" applyFill="1" applyBorder="1" applyAlignment="1">
      <alignment horizontal="center" vertical="center" wrapText="1"/>
    </xf>
    <xf numFmtId="0" fontId="39" fillId="3" borderId="8" xfId="0" applyFont="1" applyFill="1" applyBorder="1" applyAlignment="1">
      <alignment horizontal="left" vertical="center" wrapText="1"/>
    </xf>
    <xf numFmtId="44" fontId="39" fillId="3" borderId="8" xfId="24" applyNumberFormat="1" applyFont="1" applyFill="1" applyBorder="1" applyAlignment="1">
      <alignment horizontal="center" vertical="center"/>
    </xf>
    <xf numFmtId="9" fontId="39" fillId="3" borderId="8" xfId="0" applyNumberFormat="1" applyFont="1" applyFill="1" applyBorder="1" applyAlignment="1">
      <alignment horizontal="center" vertical="center"/>
    </xf>
    <xf numFmtId="0" fontId="39" fillId="3" borderId="8" xfId="0" applyFont="1" applyFill="1" applyBorder="1" applyAlignment="1">
      <alignment horizontal="center" vertical="center"/>
    </xf>
    <xf numFmtId="44" fontId="21" fillId="4" borderId="8" xfId="3" applyNumberFormat="1" applyFont="1" applyFill="1" applyBorder="1" applyAlignment="1">
      <alignment horizontal="center" vertical="center"/>
    </xf>
    <xf numFmtId="0" fontId="21" fillId="3" borderId="8" xfId="0" applyFont="1" applyFill="1" applyBorder="1" applyAlignment="1">
      <alignment horizontal="left" vertical="center" wrapText="1"/>
    </xf>
    <xf numFmtId="44" fontId="38" fillId="4" borderId="8" xfId="0" applyNumberFormat="1" applyFont="1" applyFill="1" applyBorder="1" applyAlignment="1">
      <alignment horizontal="center" vertical="center"/>
    </xf>
    <xf numFmtId="0" fontId="30" fillId="0" borderId="0" xfId="0" applyFont="1"/>
    <xf numFmtId="176" fontId="34" fillId="0" borderId="31" xfId="25" applyNumberFormat="1" applyFont="1" applyBorder="1" applyAlignment="1">
      <alignment horizontal="center" vertical="center" wrapText="1"/>
    </xf>
    <xf numFmtId="3" fontId="35" fillId="0" borderId="8" xfId="25" applyNumberFormat="1" applyFont="1" applyBorder="1" applyAlignment="1">
      <alignment horizontal="center" vertical="center" wrapText="1"/>
    </xf>
    <xf numFmtId="176" fontId="34" fillId="0" borderId="30" xfId="25" applyNumberFormat="1" applyFont="1" applyBorder="1" applyAlignment="1">
      <alignment horizontal="center" vertical="center" wrapText="1"/>
    </xf>
    <xf numFmtId="44" fontId="35" fillId="4" borderId="32" xfId="25" applyNumberFormat="1" applyFont="1" applyFill="1" applyBorder="1" applyAlignment="1">
      <alignment horizontal="center" vertical="center" wrapText="1"/>
    </xf>
    <xf numFmtId="44" fontId="35" fillId="16" borderId="27" xfId="25" applyNumberFormat="1" applyFont="1" applyFill="1" applyBorder="1" applyAlignment="1">
      <alignment horizontal="center" vertical="center" wrapText="1"/>
    </xf>
    <xf numFmtId="44" fontId="36" fillId="17" borderId="27" xfId="25" applyNumberFormat="1" applyFont="1" applyFill="1" applyBorder="1" applyAlignment="1">
      <alignment horizontal="center" vertical="center" wrapText="1"/>
    </xf>
    <xf numFmtId="44" fontId="36" fillId="15" borderId="27" xfId="25" applyNumberFormat="1" applyFont="1" applyFill="1" applyBorder="1" applyAlignment="1">
      <alignment horizontal="center" vertical="center"/>
    </xf>
    <xf numFmtId="44" fontId="38" fillId="4" borderId="8" xfId="0" applyNumberFormat="1" applyFont="1" applyFill="1" applyBorder="1" applyAlignment="1">
      <alignment vertical="center"/>
    </xf>
    <xf numFmtId="0" fontId="43" fillId="0" borderId="0" xfId="0" applyFont="1" applyAlignment="1">
      <alignment horizontal="center" vertical="center"/>
    </xf>
    <xf numFmtId="0" fontId="25" fillId="0" borderId="0" xfId="0" applyFont="1" applyAlignment="1">
      <alignment vertical="center"/>
    </xf>
    <xf numFmtId="0" fontId="28" fillId="0" borderId="0" xfId="0" applyFont="1"/>
    <xf numFmtId="0" fontId="25" fillId="0" borderId="0" xfId="0" applyFont="1" applyAlignment="1">
      <alignment vertical="center" wrapText="1"/>
    </xf>
    <xf numFmtId="0" fontId="25" fillId="0" borderId="0" xfId="0" applyFont="1" applyAlignment="1">
      <alignment horizontal="center" vertical="center" wrapText="1"/>
    </xf>
    <xf numFmtId="43" fontId="25" fillId="0" borderId="0" xfId="0" applyNumberFormat="1" applyFont="1" applyAlignment="1">
      <alignment horizontal="center" vertical="center" wrapText="1"/>
    </xf>
    <xf numFmtId="0" fontId="44" fillId="11" borderId="8" xfId="0" applyFont="1" applyFill="1" applyBorder="1" applyAlignment="1">
      <alignment horizontal="center" vertical="center" wrapText="1"/>
    </xf>
    <xf numFmtId="0" fontId="25" fillId="11" borderId="8" xfId="0" applyFont="1" applyFill="1" applyBorder="1" applyAlignment="1">
      <alignment horizontal="center" vertical="center" wrapText="1"/>
    </xf>
    <xf numFmtId="0" fontId="25" fillId="11" borderId="8" xfId="0" quotePrefix="1" applyFont="1" applyFill="1" applyBorder="1" applyAlignment="1">
      <alignment horizontal="center" vertical="center" wrapText="1"/>
    </xf>
    <xf numFmtId="43" fontId="25" fillId="11" borderId="8" xfId="0" applyNumberFormat="1" applyFont="1" applyFill="1" applyBorder="1" applyAlignment="1">
      <alignment horizontal="center" vertical="center" wrapText="1"/>
    </xf>
    <xf numFmtId="0" fontId="0" fillId="16" borderId="8" xfId="0" applyFill="1" applyBorder="1"/>
    <xf numFmtId="44" fontId="25" fillId="16" borderId="8" xfId="0" applyNumberFormat="1" applyFont="1" applyFill="1" applyBorder="1" applyAlignment="1">
      <alignment horizontal="center" vertical="center" wrapText="1"/>
    </xf>
    <xf numFmtId="44" fontId="25" fillId="16" borderId="8" xfId="12" applyNumberFormat="1" applyFont="1" applyFill="1" applyBorder="1" applyAlignment="1">
      <alignment horizontal="center" vertical="center" wrapText="1"/>
    </xf>
    <xf numFmtId="0" fontId="44" fillId="3" borderId="8" xfId="0" applyFont="1" applyFill="1" applyBorder="1" applyAlignment="1">
      <alignment horizontal="center" vertical="center"/>
    </xf>
    <xf numFmtId="0" fontId="25" fillId="16" borderId="8" xfId="0" applyFont="1" applyFill="1" applyBorder="1" applyAlignment="1">
      <alignment vertical="center" wrapText="1"/>
    </xf>
    <xf numFmtId="178" fontId="28" fillId="3" borderId="8" xfId="0" applyNumberFormat="1" applyFont="1" applyFill="1" applyBorder="1" applyAlignment="1">
      <alignment horizontal="center" vertical="center" wrapText="1"/>
    </xf>
    <xf numFmtId="3" fontId="28" fillId="3" borderId="8" xfId="0" applyNumberFormat="1" applyFont="1" applyFill="1" applyBorder="1" applyAlignment="1">
      <alignment horizontal="center" vertical="center" wrapText="1"/>
    </xf>
    <xf numFmtId="171" fontId="28" fillId="3" borderId="8" xfId="12" applyNumberFormat="1" applyFont="1" applyFill="1" applyBorder="1" applyAlignment="1">
      <alignment horizontal="center" vertical="center" wrapText="1"/>
    </xf>
    <xf numFmtId="0" fontId="28" fillId="0" borderId="0" xfId="0" applyFont="1" applyAlignment="1">
      <alignment vertical="center" wrapText="1"/>
    </xf>
    <xf numFmtId="0" fontId="44" fillId="0" borderId="0" xfId="0" applyFont="1" applyAlignment="1">
      <alignment horizontal="center" vertical="center" wrapText="1"/>
    </xf>
    <xf numFmtId="174" fontId="9" fillId="16" borderId="8" xfId="0" applyNumberFormat="1" applyFont="1" applyFill="1" applyBorder="1" applyAlignment="1">
      <alignment horizontal="center" vertical="center"/>
    </xf>
    <xf numFmtId="3" fontId="43" fillId="0" borderId="0" xfId="0" applyNumberFormat="1" applyFont="1" applyAlignment="1">
      <alignment horizontal="center" vertical="center" wrapText="1"/>
    </xf>
    <xf numFmtId="176" fontId="32" fillId="17" borderId="8" xfId="25" applyNumberFormat="1" applyFont="1" applyFill="1" applyBorder="1" applyAlignment="1">
      <alignment horizontal="center" vertical="center" wrapText="1"/>
    </xf>
    <xf numFmtId="10" fontId="17" fillId="16" borderId="8" xfId="12" applyNumberFormat="1" applyFont="1" applyFill="1" applyBorder="1" applyAlignment="1">
      <alignment horizontal="right" vertical="center" wrapText="1"/>
    </xf>
    <xf numFmtId="170" fontId="17" fillId="16" borderId="8" xfId="12" applyFont="1" applyFill="1" applyBorder="1" applyAlignment="1">
      <alignment horizontal="left" vertical="center" wrapText="1"/>
    </xf>
    <xf numFmtId="0" fontId="17" fillId="16" borderId="8" xfId="11" applyFont="1" applyFill="1" applyBorder="1" applyAlignment="1">
      <alignment horizontal="center" vertical="center" wrapText="1"/>
    </xf>
    <xf numFmtId="10" fontId="17" fillId="16" borderId="8" xfId="11" applyNumberFormat="1" applyFont="1" applyFill="1" applyBorder="1" applyAlignment="1">
      <alignment horizontal="right" vertical="center" wrapText="1"/>
    </xf>
    <xf numFmtId="4" fontId="25" fillId="16" borderId="8" xfId="0" applyNumberFormat="1" applyFont="1" applyFill="1" applyBorder="1" applyAlignment="1">
      <alignment horizontal="center" vertical="center" wrapText="1"/>
    </xf>
    <xf numFmtId="4" fontId="28" fillId="3" borderId="8" xfId="0" applyNumberFormat="1" applyFont="1" applyFill="1" applyBorder="1" applyAlignment="1">
      <alignment horizontal="center" vertical="center" wrapText="1"/>
    </xf>
    <xf numFmtId="3" fontId="43" fillId="3" borderId="8" xfId="0" applyNumberFormat="1" applyFont="1" applyFill="1" applyBorder="1" applyAlignment="1">
      <alignment horizontal="center" vertical="center" wrapText="1"/>
    </xf>
    <xf numFmtId="44" fontId="28" fillId="3" borderId="8" xfId="12" applyNumberFormat="1" applyFont="1" applyFill="1" applyBorder="1" applyAlignment="1">
      <alignment horizontal="center" vertical="center" wrapText="1"/>
    </xf>
    <xf numFmtId="3" fontId="43" fillId="4" borderId="8" xfId="0" applyNumberFormat="1" applyFont="1" applyFill="1" applyBorder="1" applyAlignment="1">
      <alignment horizontal="center" vertical="center" wrapText="1"/>
    </xf>
    <xf numFmtId="3" fontId="28" fillId="4" borderId="8" xfId="0" applyNumberFormat="1" applyFont="1" applyFill="1" applyBorder="1" applyAlignment="1">
      <alignment horizontal="center" vertical="center" wrapText="1"/>
    </xf>
    <xf numFmtId="44" fontId="28" fillId="4" borderId="8" xfId="12" applyNumberFormat="1" applyFont="1" applyFill="1" applyBorder="1" applyAlignment="1">
      <alignment horizontal="center" vertical="center" wrapText="1"/>
    </xf>
    <xf numFmtId="178" fontId="28" fillId="4" borderId="8" xfId="0" applyNumberFormat="1" applyFont="1" applyFill="1" applyBorder="1" applyAlignment="1">
      <alignment horizontal="center" vertical="center" wrapText="1"/>
    </xf>
    <xf numFmtId="171" fontId="28" fillId="4" borderId="8" xfId="12" applyNumberFormat="1" applyFont="1" applyFill="1" applyBorder="1" applyAlignment="1">
      <alignment horizontal="center" vertical="center" wrapText="1"/>
    </xf>
    <xf numFmtId="177" fontId="28" fillId="3" borderId="8" xfId="0" applyNumberFormat="1" applyFont="1" applyFill="1" applyBorder="1" applyAlignment="1">
      <alignment horizontal="center" vertical="center" wrapText="1"/>
    </xf>
    <xf numFmtId="44" fontId="28" fillId="3" borderId="8" xfId="0" applyNumberFormat="1" applyFont="1" applyFill="1" applyBorder="1" applyAlignment="1">
      <alignment horizontal="center" vertical="center" wrapText="1"/>
    </xf>
    <xf numFmtId="0" fontId="28" fillId="3" borderId="8" xfId="0" applyFont="1" applyFill="1" applyBorder="1" applyAlignment="1">
      <alignment horizontal="center" vertical="center" wrapText="1"/>
    </xf>
    <xf numFmtId="10" fontId="32" fillId="17" borderId="8" xfId="25" applyNumberFormat="1" applyFont="1" applyFill="1" applyBorder="1" applyAlignment="1">
      <alignment horizontal="center" vertical="center" wrapText="1"/>
    </xf>
    <xf numFmtId="44" fontId="35" fillId="3" borderId="33" xfId="25" applyNumberFormat="1" applyFont="1" applyFill="1" applyBorder="1" applyAlignment="1">
      <alignment horizontal="center" vertical="center" wrapText="1"/>
    </xf>
    <xf numFmtId="0" fontId="31" fillId="16" borderId="8" xfId="0" applyFont="1" applyFill="1" applyBorder="1" applyAlignment="1">
      <alignment horizontal="center" vertical="center" wrapText="1"/>
    </xf>
    <xf numFmtId="0" fontId="31" fillId="16" borderId="12" xfId="0" applyFont="1" applyFill="1" applyBorder="1" applyAlignment="1">
      <alignment horizontal="center" vertical="center" wrapText="1"/>
    </xf>
    <xf numFmtId="0" fontId="31" fillId="16" borderId="11" xfId="0" applyFont="1" applyFill="1" applyBorder="1" applyAlignment="1">
      <alignment horizontal="center" vertical="center" wrapText="1"/>
    </xf>
    <xf numFmtId="44" fontId="31" fillId="16" borderId="8" xfId="3" applyNumberFormat="1" applyFont="1" applyFill="1" applyBorder="1" applyAlignment="1" applyProtection="1">
      <alignment horizontal="center" vertical="center"/>
    </xf>
    <xf numFmtId="0" fontId="40" fillId="16" borderId="8"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2" fillId="16" borderId="8" xfId="0" applyFont="1" applyFill="1" applyBorder="1" applyAlignment="1">
      <alignment horizontal="center" vertical="center" wrapText="1"/>
    </xf>
    <xf numFmtId="3" fontId="38" fillId="16" borderId="8" xfId="0" applyNumberFormat="1" applyFont="1" applyFill="1" applyBorder="1" applyAlignment="1">
      <alignment horizontal="center" vertical="center"/>
    </xf>
    <xf numFmtId="44" fontId="38" fillId="16" borderId="8" xfId="0" applyNumberFormat="1" applyFont="1" applyFill="1" applyBorder="1" applyAlignment="1">
      <alignment horizontal="center" vertical="center"/>
    </xf>
    <xf numFmtId="4" fontId="25" fillId="10" borderId="8" xfId="0" applyNumberFormat="1" applyFont="1" applyFill="1" applyBorder="1" applyAlignment="1">
      <alignment horizontal="center" vertical="center" wrapText="1"/>
    </xf>
    <xf numFmtId="174" fontId="25" fillId="10" borderId="8" xfId="12" applyNumberFormat="1" applyFont="1" applyFill="1" applyBorder="1" applyAlignment="1">
      <alignment horizontal="center" vertical="center" wrapText="1"/>
    </xf>
    <xf numFmtId="165" fontId="11" fillId="3" borderId="6" xfId="3" applyFont="1" applyFill="1" applyBorder="1" applyAlignment="1" applyProtection="1">
      <alignment vertical="center"/>
    </xf>
    <xf numFmtId="165" fontId="11" fillId="3" borderId="6" xfId="3" applyFont="1" applyFill="1" applyBorder="1" applyAlignment="1" applyProtection="1">
      <alignment vertical="center"/>
      <protection locked="0"/>
    </xf>
    <xf numFmtId="44" fontId="11" fillId="3" borderId="8" xfId="0" applyNumberFormat="1" applyFont="1" applyFill="1" applyBorder="1" applyAlignment="1">
      <alignment horizontal="center" vertical="center"/>
    </xf>
    <xf numFmtId="0" fontId="48" fillId="0" borderId="0" xfId="0" applyFont="1"/>
    <xf numFmtId="165" fontId="11" fillId="5" borderId="8" xfId="3" applyFont="1" applyFill="1" applyBorder="1" applyAlignment="1" applyProtection="1">
      <alignment vertical="center"/>
      <protection locked="0"/>
    </xf>
    <xf numFmtId="165" fontId="11" fillId="3" borderId="8" xfId="3" applyFont="1" applyFill="1" applyBorder="1" applyAlignment="1" applyProtection="1">
      <alignment vertical="center"/>
      <protection locked="0"/>
    </xf>
    <xf numFmtId="0" fontId="0" fillId="0" borderId="0" xfId="0" applyAlignment="1">
      <alignment vertical="center"/>
    </xf>
    <xf numFmtId="0" fontId="0" fillId="0" borderId="8" xfId="0" applyBorder="1" applyAlignment="1">
      <alignment vertical="center" wrapText="1"/>
    </xf>
    <xf numFmtId="0" fontId="0" fillId="0" borderId="8" xfId="0" applyBorder="1"/>
    <xf numFmtId="0" fontId="0" fillId="0" borderId="8" xfId="0" applyBorder="1" applyAlignment="1">
      <alignment vertical="center"/>
    </xf>
    <xf numFmtId="4" fontId="0" fillId="0" borderId="8" xfId="0" applyNumberFormat="1"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left" vertical="center" wrapText="1"/>
    </xf>
    <xf numFmtId="43" fontId="8" fillId="0" borderId="0" xfId="0" applyNumberFormat="1" applyFont="1"/>
    <xf numFmtId="0" fontId="0" fillId="0" borderId="0" xfId="0" applyAlignment="1">
      <alignment horizontal="center"/>
    </xf>
    <xf numFmtId="0" fontId="31" fillId="0" borderId="0" xfId="0" applyFont="1" applyAlignment="1">
      <alignment horizontal="center" vertical="center" wrapText="1"/>
    </xf>
    <xf numFmtId="44" fontId="31" fillId="0" borderId="0" xfId="3" applyNumberFormat="1" applyFont="1" applyBorder="1" applyAlignment="1" applyProtection="1">
      <alignment horizontal="center" vertical="center"/>
    </xf>
    <xf numFmtId="0" fontId="50" fillId="0" borderId="0" xfId="0" applyFont="1" applyAlignment="1">
      <alignment horizontal="center"/>
    </xf>
    <xf numFmtId="176" fontId="4" fillId="0" borderId="30" xfId="25" applyNumberFormat="1" applyBorder="1" applyAlignment="1">
      <alignment horizontal="center" vertical="center" wrapText="1"/>
    </xf>
    <xf numFmtId="3" fontId="51" fillId="0" borderId="8" xfId="25" applyNumberFormat="1" applyFont="1" applyBorder="1" applyAlignment="1">
      <alignment horizontal="center" vertical="center" wrapText="1"/>
    </xf>
    <xf numFmtId="44" fontId="51" fillId="16" borderId="32" xfId="25" applyNumberFormat="1" applyFont="1" applyFill="1" applyBorder="1" applyAlignment="1">
      <alignment horizontal="center" vertical="center" wrapText="1"/>
    </xf>
    <xf numFmtId="44" fontId="51" fillId="4" borderId="32" xfId="25" applyNumberFormat="1" applyFont="1" applyFill="1" applyBorder="1" applyAlignment="1">
      <alignment horizontal="center" vertical="center" wrapText="1"/>
    </xf>
    <xf numFmtId="44" fontId="51" fillId="3" borderId="33" xfId="25" applyNumberFormat="1" applyFont="1" applyFill="1" applyBorder="1" applyAlignment="1">
      <alignment horizontal="center" vertical="center" wrapText="1"/>
    </xf>
    <xf numFmtId="0" fontId="4" fillId="0" borderId="8" xfId="25" applyBorder="1" applyAlignment="1">
      <alignment horizontal="center" vertical="center" wrapText="1"/>
    </xf>
    <xf numFmtId="0" fontId="4" fillId="0" borderId="8" xfId="25" applyBorder="1" applyAlignment="1">
      <alignment horizontal="left" vertical="center" wrapText="1"/>
    </xf>
    <xf numFmtId="176" fontId="4" fillId="0" borderId="31" xfId="25" applyNumberFormat="1" applyBorder="1" applyAlignment="1">
      <alignment horizontal="center" vertical="center" wrapText="1"/>
    </xf>
    <xf numFmtId="44" fontId="51" fillId="16" borderId="27" xfId="25" applyNumberFormat="1" applyFont="1" applyFill="1" applyBorder="1" applyAlignment="1">
      <alignment horizontal="center" vertical="center" wrapText="1"/>
    </xf>
    <xf numFmtId="3" fontId="4" fillId="0" borderId="8" xfId="25" applyNumberFormat="1" applyBorder="1" applyAlignment="1">
      <alignment horizontal="center" vertical="center" wrapText="1"/>
    </xf>
    <xf numFmtId="44" fontId="32" fillId="17" borderId="27" xfId="25" applyNumberFormat="1" applyFont="1" applyFill="1" applyBorder="1" applyAlignment="1">
      <alignment horizontal="center" vertical="center" wrapText="1"/>
    </xf>
    <xf numFmtId="0" fontId="4" fillId="14" borderId="0" xfId="25" applyFill="1" applyAlignment="1">
      <alignment horizontal="center" vertical="center"/>
    </xf>
    <xf numFmtId="0" fontId="4" fillId="14" borderId="0" xfId="25" applyFill="1" applyAlignment="1">
      <alignment horizontal="left" vertical="center"/>
    </xf>
    <xf numFmtId="3" fontId="4" fillId="14" borderId="0" xfId="25" applyNumberFormat="1" applyFill="1" applyAlignment="1">
      <alignment horizontal="center" vertical="center"/>
    </xf>
    <xf numFmtId="44" fontId="32" fillId="15" borderId="27" xfId="25" applyNumberFormat="1" applyFont="1" applyFill="1" applyBorder="1" applyAlignment="1">
      <alignment horizontal="center" vertical="center"/>
    </xf>
    <xf numFmtId="0" fontId="11" fillId="0" borderId="0" xfId="11" applyFont="1" applyAlignment="1">
      <alignment vertical="center" wrapText="1"/>
    </xf>
    <xf numFmtId="0" fontId="16" fillId="0" borderId="0" xfId="11" applyFont="1" applyAlignment="1">
      <alignment horizontal="left" vertical="center" wrapText="1"/>
    </xf>
    <xf numFmtId="0" fontId="47" fillId="0" borderId="20" xfId="25" applyFont="1" applyBorder="1" applyAlignment="1">
      <alignment horizontal="center" vertical="center" wrapText="1"/>
    </xf>
    <xf numFmtId="0" fontId="47" fillId="0" borderId="20" xfId="25" applyFont="1" applyBorder="1" applyAlignment="1">
      <alignment horizontal="left" vertical="center" wrapText="1"/>
    </xf>
    <xf numFmtId="0" fontId="47" fillId="0" borderId="8" xfId="25" applyFont="1" applyBorder="1" applyAlignment="1">
      <alignment horizontal="left" vertical="center" wrapText="1"/>
    </xf>
    <xf numFmtId="0" fontId="47" fillId="0" borderId="8" xfId="25" applyFont="1" applyBorder="1" applyAlignment="1">
      <alignment horizontal="center" vertical="center" wrapText="1"/>
    </xf>
    <xf numFmtId="0" fontId="5" fillId="3" borderId="8" xfId="0" applyFont="1" applyFill="1" applyBorder="1" applyAlignment="1">
      <alignment vertical="center"/>
    </xf>
    <xf numFmtId="0" fontId="12" fillId="12" borderId="1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6" xfId="0" applyFont="1" applyFill="1" applyBorder="1" applyAlignment="1">
      <alignment horizontal="center" vertical="center"/>
    </xf>
    <xf numFmtId="2" fontId="12" fillId="3" borderId="6" xfId="0" applyNumberFormat="1" applyFont="1" applyFill="1" applyBorder="1" applyAlignment="1">
      <alignment horizontal="center" vertical="center"/>
    </xf>
    <xf numFmtId="1" fontId="12" fillId="3" borderId="6" xfId="0" applyNumberFormat="1" applyFont="1" applyFill="1" applyBorder="1" applyAlignment="1">
      <alignment horizontal="center" vertical="center"/>
    </xf>
    <xf numFmtId="0" fontId="11" fillId="3" borderId="13" xfId="0" applyFont="1" applyFill="1" applyBorder="1" applyAlignment="1">
      <alignment vertical="center"/>
    </xf>
    <xf numFmtId="44" fontId="12" fillId="13" borderId="13" xfId="0" applyNumberFormat="1" applyFont="1" applyFill="1" applyBorder="1" applyAlignment="1">
      <alignment vertical="center"/>
    </xf>
    <xf numFmtId="168" fontId="11" fillId="3" borderId="13" xfId="0" applyNumberFormat="1" applyFont="1" applyFill="1" applyBorder="1" applyAlignment="1" applyProtection="1">
      <alignment vertical="center" wrapText="1"/>
      <protection locked="0"/>
    </xf>
    <xf numFmtId="0" fontId="11" fillId="0" borderId="0" xfId="0" applyFont="1" applyAlignment="1">
      <alignment horizontal="left" vertical="center" wrapText="1"/>
    </xf>
    <xf numFmtId="0" fontId="12" fillId="4" borderId="8" xfId="0" applyFont="1" applyFill="1" applyBorder="1" applyAlignment="1">
      <alignment horizontal="center" vertical="center" wrapText="1"/>
    </xf>
    <xf numFmtId="165" fontId="12" fillId="7" borderId="8" xfId="3" applyFont="1" applyFill="1" applyBorder="1" applyAlignment="1" applyProtection="1">
      <alignment vertical="center"/>
      <protection locked="0"/>
    </xf>
    <xf numFmtId="0" fontId="11" fillId="0" borderId="0" xfId="0" applyFont="1" applyAlignment="1" applyProtection="1">
      <alignment vertical="center"/>
      <protection locked="0"/>
    </xf>
    <xf numFmtId="0" fontId="12" fillId="4" borderId="3" xfId="0" applyFont="1" applyFill="1" applyBorder="1" applyAlignment="1">
      <alignment horizontal="center" vertical="center"/>
    </xf>
    <xf numFmtId="165" fontId="11" fillId="3" borderId="2" xfId="3" applyFont="1" applyFill="1" applyBorder="1" applyAlignment="1" applyProtection="1">
      <alignment vertical="center"/>
    </xf>
    <xf numFmtId="165" fontId="12" fillId="7" borderId="19" xfId="3" applyFont="1" applyFill="1" applyBorder="1" applyAlignment="1" applyProtection="1">
      <alignment vertical="center"/>
    </xf>
    <xf numFmtId="165" fontId="12" fillId="7" borderId="8" xfId="3" applyFont="1" applyFill="1" applyBorder="1" applyAlignment="1" applyProtection="1">
      <alignment vertical="center"/>
    </xf>
    <xf numFmtId="0" fontId="12" fillId="4" borderId="3" xfId="0" applyFont="1" applyFill="1" applyBorder="1" applyAlignment="1">
      <alignment horizontal="center" vertical="center" wrapText="1"/>
    </xf>
    <xf numFmtId="165" fontId="12" fillId="7" borderId="2" xfId="3" applyFont="1" applyFill="1" applyBorder="1" applyAlignment="1" applyProtection="1">
      <alignment vertical="center"/>
    </xf>
    <xf numFmtId="0" fontId="12" fillId="4" borderId="10" xfId="0" applyFont="1" applyFill="1" applyBorder="1" applyAlignment="1">
      <alignment horizontal="center" vertical="center" wrapText="1"/>
    </xf>
    <xf numFmtId="165" fontId="11" fillId="3" borderId="8" xfId="3" applyFont="1" applyFill="1" applyBorder="1" applyAlignment="1" applyProtection="1">
      <alignment vertical="center"/>
    </xf>
    <xf numFmtId="0" fontId="12" fillId="0" borderId="0" xfId="0" applyFont="1" applyAlignment="1">
      <alignment horizontal="left" vertical="center" wrapText="1"/>
    </xf>
    <xf numFmtId="0" fontId="12" fillId="4" borderId="1" xfId="0" applyFont="1" applyFill="1" applyBorder="1" applyAlignment="1">
      <alignment horizontal="center" vertical="center" wrapText="1"/>
    </xf>
    <xf numFmtId="44" fontId="11" fillId="3" borderId="4" xfId="0" applyNumberFormat="1" applyFont="1" applyFill="1" applyBorder="1" applyAlignment="1">
      <alignment horizontal="center" vertical="center" wrapText="1"/>
    </xf>
    <xf numFmtId="44" fontId="12" fillId="7" borderId="8" xfId="0" applyNumberFormat="1" applyFont="1" applyFill="1" applyBorder="1" applyAlignment="1">
      <alignment horizontal="center" vertical="center" wrapText="1"/>
    </xf>
    <xf numFmtId="44" fontId="11" fillId="3" borderId="8" xfId="3" applyNumberFormat="1" applyFont="1" applyFill="1" applyBorder="1" applyAlignment="1" applyProtection="1">
      <alignment vertical="center"/>
    </xf>
    <xf numFmtId="44" fontId="11" fillId="3" borderId="8" xfId="0" applyNumberFormat="1" applyFont="1" applyFill="1" applyBorder="1" applyAlignment="1">
      <alignment vertical="center" wrapText="1"/>
    </xf>
    <xf numFmtId="0" fontId="12" fillId="6" borderId="3" xfId="0" applyFont="1" applyFill="1" applyBorder="1" applyAlignment="1">
      <alignment horizontal="center" vertical="center"/>
    </xf>
    <xf numFmtId="165" fontId="11" fillId="8" borderId="8" xfId="3" applyFont="1" applyFill="1" applyBorder="1" applyAlignment="1" applyProtection="1">
      <alignment vertical="center"/>
    </xf>
    <xf numFmtId="0" fontId="55" fillId="0" borderId="0" xfId="0" applyFont="1"/>
    <xf numFmtId="43" fontId="55" fillId="0" borderId="0" xfId="0" applyNumberFormat="1" applyFont="1"/>
    <xf numFmtId="0" fontId="55" fillId="3" borderId="15" xfId="0" applyFont="1" applyFill="1" applyBorder="1" applyAlignment="1">
      <alignment vertical="center"/>
    </xf>
    <xf numFmtId="0" fontId="55" fillId="3" borderId="26" xfId="0" applyFont="1" applyFill="1" applyBorder="1" applyAlignment="1">
      <alignment vertical="center"/>
    </xf>
    <xf numFmtId="0" fontId="11" fillId="3" borderId="8" xfId="0" applyFont="1" applyFill="1" applyBorder="1" applyAlignment="1">
      <alignment horizontal="center" vertical="center"/>
    </xf>
    <xf numFmtId="0" fontId="55" fillId="3" borderId="13" xfId="0" applyFont="1" applyFill="1" applyBorder="1" applyAlignment="1">
      <alignment vertical="center"/>
    </xf>
    <xf numFmtId="0" fontId="11" fillId="0" borderId="0" xfId="0" applyFont="1" applyAlignment="1">
      <alignment horizontal="left" vertical="center"/>
    </xf>
    <xf numFmtId="0" fontId="12" fillId="4" borderId="8" xfId="0" applyFont="1" applyFill="1" applyBorder="1" applyAlignment="1">
      <alignment horizontal="center" vertical="center"/>
    </xf>
    <xf numFmtId="10" fontId="11" fillId="3" borderId="8" xfId="0" applyNumberFormat="1" applyFont="1" applyFill="1" applyBorder="1" applyAlignment="1" applyProtection="1">
      <alignment horizontal="center" vertical="center"/>
      <protection locked="0"/>
    </xf>
    <xf numFmtId="10" fontId="11" fillId="3" borderId="2" xfId="0" applyNumberFormat="1" applyFont="1" applyFill="1" applyBorder="1" applyAlignment="1">
      <alignment horizontal="center" vertical="center"/>
    </xf>
    <xf numFmtId="10" fontId="11" fillId="3" borderId="4" xfId="0" applyNumberFormat="1" applyFont="1" applyFill="1" applyBorder="1" applyAlignment="1">
      <alignment horizontal="center" vertical="center"/>
    </xf>
    <xf numFmtId="10" fontId="12" fillId="4" borderId="8" xfId="0" applyNumberFormat="1" applyFont="1" applyFill="1" applyBorder="1" applyAlignment="1">
      <alignment horizontal="center" vertical="center"/>
    </xf>
    <xf numFmtId="10" fontId="11" fillId="3" borderId="2" xfId="0" applyNumberFormat="1" applyFont="1" applyFill="1" applyBorder="1" applyAlignment="1">
      <alignment horizontal="center" vertical="center" wrapText="1"/>
    </xf>
    <xf numFmtId="10" fontId="12" fillId="4" borderId="2" xfId="0" applyNumberFormat="1" applyFont="1" applyFill="1" applyBorder="1" applyAlignment="1">
      <alignment horizontal="center" vertical="center" wrapText="1"/>
    </xf>
    <xf numFmtId="44" fontId="11" fillId="3" borderId="8" xfId="0" applyNumberFormat="1" applyFont="1" applyFill="1" applyBorder="1" applyAlignment="1" applyProtection="1">
      <alignment horizontal="center" vertical="center"/>
      <protection locked="0"/>
    </xf>
    <xf numFmtId="44" fontId="11" fillId="3" borderId="11" xfId="0" applyNumberFormat="1" applyFont="1" applyFill="1" applyBorder="1" applyAlignment="1">
      <alignment horizontal="center" vertical="center"/>
    </xf>
    <xf numFmtId="10" fontId="11" fillId="3" borderId="3" xfId="8" applyNumberFormat="1" applyFont="1" applyFill="1" applyBorder="1" applyAlignment="1" applyProtection="1">
      <alignment horizontal="center" vertical="center"/>
      <protection locked="0"/>
    </xf>
    <xf numFmtId="10" fontId="11" fillId="3" borderId="8" xfId="0" applyNumberFormat="1" applyFont="1" applyFill="1" applyBorder="1" applyAlignment="1">
      <alignment horizontal="center" vertical="center"/>
    </xf>
    <xf numFmtId="175" fontId="11" fillId="3" borderId="4" xfId="0" applyNumberFormat="1" applyFont="1" applyFill="1" applyBorder="1" applyAlignment="1">
      <alignment horizontal="center" vertical="center"/>
    </xf>
    <xf numFmtId="175" fontId="12" fillId="4" borderId="8" xfId="0" applyNumberFormat="1" applyFont="1" applyFill="1" applyBorder="1" applyAlignment="1">
      <alignment horizontal="center" vertical="center"/>
    </xf>
    <xf numFmtId="10" fontId="11" fillId="3" borderId="8" xfId="0" applyNumberFormat="1" applyFont="1" applyFill="1" applyBorder="1" applyAlignment="1">
      <alignment horizontal="center" vertical="center" wrapText="1"/>
    </xf>
    <xf numFmtId="10" fontId="11" fillId="4" borderId="8" xfId="8" applyNumberFormat="1" applyFont="1" applyFill="1" applyBorder="1" applyAlignment="1" applyProtection="1">
      <alignment horizontal="center" vertical="center" wrapText="1"/>
    </xf>
    <xf numFmtId="0" fontId="9" fillId="26" borderId="8" xfId="0" applyFont="1" applyFill="1" applyBorder="1" applyAlignment="1">
      <alignment horizontal="center" vertical="center" wrapText="1"/>
    </xf>
    <xf numFmtId="44" fontId="12" fillId="41" borderId="8" xfId="3" applyNumberFormat="1" applyFont="1" applyFill="1" applyBorder="1" applyAlignment="1" applyProtection="1">
      <alignment vertical="center"/>
    </xf>
    <xf numFmtId="10" fontId="11" fillId="40" borderId="1" xfId="8" applyNumberFormat="1" applyFont="1" applyFill="1" applyBorder="1" applyAlignment="1" applyProtection="1">
      <alignment horizontal="center" vertical="center"/>
      <protection locked="0"/>
    </xf>
    <xf numFmtId="165" fontId="11" fillId="3" borderId="4" xfId="3" applyFont="1" applyFill="1" applyBorder="1" applyAlignment="1" applyProtection="1">
      <alignment vertical="center"/>
    </xf>
    <xf numFmtId="0" fontId="9" fillId="42" borderId="8" xfId="0" applyFont="1" applyFill="1" applyBorder="1" applyAlignment="1">
      <alignment horizontal="center" vertical="center" wrapText="1"/>
    </xf>
    <xf numFmtId="10" fontId="12" fillId="42" borderId="8" xfId="1" applyNumberFormat="1" applyFont="1" applyFill="1" applyBorder="1" applyAlignment="1" applyProtection="1">
      <alignment horizontal="center" vertical="center"/>
      <protection locked="0"/>
    </xf>
    <xf numFmtId="165" fontId="12" fillId="43" borderId="8" xfId="3" applyFont="1" applyFill="1" applyBorder="1" applyAlignment="1" applyProtection="1">
      <alignment vertical="center"/>
      <protection locked="0"/>
    </xf>
    <xf numFmtId="0" fontId="9" fillId="44" borderId="8" xfId="0" applyFont="1" applyFill="1" applyBorder="1" applyAlignment="1">
      <alignment horizontal="center" vertical="center" wrapText="1"/>
    </xf>
    <xf numFmtId="165" fontId="12" fillId="45" borderId="8" xfId="3" applyFont="1" applyFill="1" applyBorder="1" applyAlignment="1" applyProtection="1">
      <alignment vertical="center"/>
    </xf>
    <xf numFmtId="165" fontId="12" fillId="47" borderId="8" xfId="3" applyFont="1" applyFill="1" applyBorder="1" applyAlignment="1" applyProtection="1">
      <alignment vertical="center"/>
      <protection locked="0"/>
    </xf>
    <xf numFmtId="0" fontId="9" fillId="46" borderId="8" xfId="0" applyFont="1" applyFill="1" applyBorder="1" applyAlignment="1">
      <alignment horizontal="center" vertical="center" wrapText="1"/>
    </xf>
    <xf numFmtId="165" fontId="11" fillId="46" borderId="8" xfId="3" applyFont="1" applyFill="1" applyBorder="1" applyAlignment="1" applyProtection="1">
      <alignment vertical="center"/>
    </xf>
    <xf numFmtId="165" fontId="11" fillId="44" borderId="8" xfId="3" applyFont="1" applyFill="1" applyBorder="1" applyAlignment="1" applyProtection="1">
      <alignment vertical="center"/>
    </xf>
    <xf numFmtId="165" fontId="11" fillId="42" borderId="8" xfId="3" applyFont="1" applyFill="1" applyBorder="1" applyAlignment="1" applyProtection="1">
      <alignment vertical="center"/>
    </xf>
    <xf numFmtId="165" fontId="11" fillId="26" borderId="8" xfId="3" applyFont="1" applyFill="1" applyBorder="1" applyAlignment="1" applyProtection="1">
      <alignment vertical="center"/>
    </xf>
    <xf numFmtId="0" fontId="9" fillId="39" borderId="8" xfId="0" applyFont="1" applyFill="1" applyBorder="1" applyAlignment="1">
      <alignment horizontal="center" vertical="center" wrapText="1"/>
    </xf>
    <xf numFmtId="165" fontId="11" fillId="39" borderId="8" xfId="3" applyFont="1" applyFill="1" applyBorder="1" applyAlignment="1" applyProtection="1">
      <alignment vertical="center"/>
    </xf>
    <xf numFmtId="165" fontId="12" fillId="48" borderId="8" xfId="3" applyFont="1" applyFill="1" applyBorder="1" applyAlignment="1" applyProtection="1">
      <alignment vertical="center"/>
    </xf>
    <xf numFmtId="165" fontId="12" fillId="50" borderId="6" xfId="3" applyFont="1" applyFill="1" applyBorder="1" applyAlignment="1" applyProtection="1">
      <alignment vertical="center"/>
      <protection locked="0"/>
    </xf>
    <xf numFmtId="0" fontId="9" fillId="49" borderId="8" xfId="0" applyFont="1" applyFill="1" applyBorder="1" applyAlignment="1">
      <alignment horizontal="center" vertical="center" wrapText="1"/>
    </xf>
    <xf numFmtId="165" fontId="11" fillId="49" borderId="8" xfId="3" applyFont="1" applyFill="1" applyBorder="1" applyAlignment="1" applyProtection="1">
      <alignment vertical="center"/>
    </xf>
    <xf numFmtId="165" fontId="13" fillId="51" borderId="8" xfId="3" applyFont="1" applyFill="1" applyBorder="1" applyAlignment="1" applyProtection="1">
      <alignment vertical="center"/>
    </xf>
    <xf numFmtId="0" fontId="0" fillId="0" borderId="0" xfId="0" applyAlignment="1">
      <alignment wrapText="1"/>
    </xf>
    <xf numFmtId="0" fontId="31" fillId="16" borderId="14" xfId="0" applyFont="1" applyFill="1" applyBorder="1" applyAlignment="1">
      <alignment horizontal="center" vertical="center" wrapText="1"/>
    </xf>
    <xf numFmtId="0" fontId="23" fillId="0" borderId="8" xfId="0" applyFont="1" applyBorder="1"/>
    <xf numFmtId="0" fontId="40" fillId="16" borderId="0" xfId="0" applyFont="1" applyFill="1" applyAlignment="1">
      <alignment horizontal="center" vertical="center" wrapText="1"/>
    </xf>
    <xf numFmtId="0" fontId="41" fillId="16" borderId="0" xfId="0" applyFont="1" applyFill="1" applyAlignment="1">
      <alignment horizontal="center" vertical="center" wrapText="1"/>
    </xf>
    <xf numFmtId="0" fontId="42" fillId="16" borderId="0" xfId="0" applyFont="1" applyFill="1" applyAlignment="1">
      <alignment horizontal="center" vertical="center" wrapText="1"/>
    </xf>
    <xf numFmtId="0" fontId="75" fillId="3" borderId="8" xfId="0" applyFont="1" applyFill="1" applyBorder="1" applyAlignment="1" applyProtection="1">
      <alignment horizontal="center" vertical="center"/>
      <protection locked="0"/>
    </xf>
    <xf numFmtId="0" fontId="18" fillId="0" borderId="0" xfId="11" applyFont="1" applyAlignment="1">
      <alignment vertical="center" wrapText="1"/>
    </xf>
    <xf numFmtId="0" fontId="12" fillId="10" borderId="8" xfId="0" applyFont="1" applyFill="1" applyBorder="1" applyAlignment="1">
      <alignment horizontal="center" vertical="center" wrapText="1"/>
    </xf>
    <xf numFmtId="0" fontId="12" fillId="3" borderId="0" xfId="0" applyFont="1" applyFill="1" applyAlignment="1">
      <alignment horizontal="center" vertical="center" wrapText="1"/>
    </xf>
    <xf numFmtId="0" fontId="75" fillId="3" borderId="8" xfId="0" applyFont="1" applyFill="1" applyBorder="1" applyAlignment="1" applyProtection="1">
      <alignment vertical="center"/>
      <protection locked="0"/>
    </xf>
    <xf numFmtId="0" fontId="53" fillId="0" borderId="8" xfId="0" applyFont="1" applyBorder="1" applyAlignment="1">
      <alignment vertical="center" wrapText="1"/>
    </xf>
    <xf numFmtId="0" fontId="9" fillId="23" borderId="8" xfId="0" applyFont="1" applyFill="1" applyBorder="1" applyAlignment="1">
      <alignment horizontal="center" vertical="center" wrapText="1"/>
    </xf>
    <xf numFmtId="0" fontId="9" fillId="23" borderId="8" xfId="0" applyFont="1" applyFill="1" applyBorder="1" applyAlignment="1">
      <alignment vertical="center" wrapText="1"/>
    </xf>
    <xf numFmtId="0" fontId="17" fillId="29" borderId="8" xfId="0" applyFont="1" applyFill="1" applyBorder="1" applyAlignment="1">
      <alignment vertical="center" wrapText="1"/>
    </xf>
    <xf numFmtId="0" fontId="16" fillId="29" borderId="8" xfId="0" applyFont="1" applyFill="1" applyBorder="1" applyAlignment="1">
      <alignment vertical="center" wrapText="1"/>
    </xf>
    <xf numFmtId="0" fontId="5" fillId="3" borderId="5" xfId="0" applyFont="1" applyFill="1" applyBorder="1" applyAlignment="1">
      <alignment horizontal="left" vertical="center" wrapText="1"/>
    </xf>
    <xf numFmtId="0" fontId="55" fillId="3" borderId="8" xfId="0" applyFont="1" applyFill="1" applyBorder="1" applyAlignment="1">
      <alignment vertical="center"/>
    </xf>
    <xf numFmtId="14" fontId="11" fillId="3" borderId="8" xfId="0" applyNumberFormat="1" applyFont="1" applyFill="1" applyBorder="1" applyAlignment="1" applyProtection="1">
      <alignment horizontal="center" vertical="center"/>
      <protection locked="0"/>
    </xf>
    <xf numFmtId="0" fontId="12" fillId="12" borderId="8" xfId="0" applyFont="1" applyFill="1" applyBorder="1" applyAlignment="1">
      <alignment horizontal="center" vertical="center"/>
    </xf>
    <xf numFmtId="2" fontId="12" fillId="3" borderId="8" xfId="0" applyNumberFormat="1" applyFont="1" applyFill="1" applyBorder="1" applyAlignment="1">
      <alignment horizontal="center" vertical="center"/>
    </xf>
    <xf numFmtId="1" fontId="12" fillId="3" borderId="8" xfId="0" applyNumberFormat="1" applyFont="1" applyFill="1" applyBorder="1" applyAlignment="1">
      <alignment horizontal="center" vertical="center"/>
    </xf>
    <xf numFmtId="0" fontId="11" fillId="3" borderId="8" xfId="0" applyFont="1" applyFill="1" applyBorder="1" applyAlignment="1">
      <alignment vertical="center"/>
    </xf>
    <xf numFmtId="44" fontId="12" fillId="13" borderId="8" xfId="0" applyNumberFormat="1" applyFont="1" applyFill="1" applyBorder="1" applyAlignment="1">
      <alignment vertical="center"/>
    </xf>
    <xf numFmtId="168" fontId="11" fillId="3" borderId="8" xfId="0" applyNumberFormat="1" applyFont="1" applyFill="1" applyBorder="1" applyAlignment="1" applyProtection="1">
      <alignment vertical="center" wrapText="1"/>
      <protection locked="0"/>
    </xf>
    <xf numFmtId="0" fontId="9" fillId="4" borderId="66" xfId="0" applyFont="1" applyFill="1" applyBorder="1" applyAlignment="1">
      <alignment horizontal="center" vertical="center" wrapText="1"/>
    </xf>
    <xf numFmtId="0" fontId="12" fillId="4" borderId="67" xfId="0" applyFont="1" applyFill="1" applyBorder="1" applyAlignment="1">
      <alignment horizontal="center" vertical="center" wrapText="1"/>
    </xf>
    <xf numFmtId="165" fontId="12" fillId="76" borderId="6" xfId="3" applyFont="1" applyFill="1" applyBorder="1" applyAlignment="1" applyProtection="1">
      <alignment vertical="center"/>
      <protection locked="0"/>
    </xf>
    <xf numFmtId="0" fontId="9" fillId="75" borderId="8" xfId="0" applyFont="1" applyFill="1" applyBorder="1" applyAlignment="1">
      <alignment horizontal="center" vertical="center" wrapText="1"/>
    </xf>
    <xf numFmtId="165" fontId="11" fillId="75" borderId="8" xfId="3" applyFont="1" applyFill="1" applyBorder="1" applyAlignment="1" applyProtection="1">
      <alignment vertical="center"/>
    </xf>
    <xf numFmtId="165" fontId="76" fillId="51" borderId="8" xfId="3" applyFont="1" applyFill="1" applyBorder="1" applyAlignment="1" applyProtection="1">
      <alignment vertical="center"/>
    </xf>
    <xf numFmtId="43" fontId="0" fillId="0" borderId="8" xfId="24" applyFont="1" applyBorder="1" applyAlignment="1">
      <alignment horizontal="center" vertical="center"/>
    </xf>
    <xf numFmtId="43" fontId="0" fillId="0" borderId="8" xfId="24" applyFont="1" applyFill="1" applyBorder="1" applyAlignment="1">
      <alignment horizontal="center" vertical="center"/>
    </xf>
    <xf numFmtId="0" fontId="9" fillId="0" borderId="0" xfId="0" applyFont="1"/>
    <xf numFmtId="43" fontId="11" fillId="0" borderId="0" xfId="0" quotePrefix="1" applyNumberFormat="1" applyFont="1" applyAlignment="1">
      <alignment horizontal="center"/>
    </xf>
    <xf numFmtId="0" fontId="11" fillId="0" borderId="0" xfId="0" applyFont="1" applyAlignment="1">
      <alignment horizontal="center"/>
    </xf>
    <xf numFmtId="43" fontId="12" fillId="21" borderId="8" xfId="0" quotePrefix="1" applyNumberFormat="1" applyFont="1" applyFill="1" applyBorder="1" applyAlignment="1">
      <alignment horizontal="center"/>
    </xf>
    <xf numFmtId="165" fontId="72" fillId="0" borderId="0" xfId="3" applyFont="1" applyBorder="1" applyAlignment="1">
      <alignment horizontal="center" vertical="center"/>
    </xf>
    <xf numFmtId="0" fontId="12" fillId="0" borderId="8" xfId="0" applyFont="1" applyBorder="1" applyAlignment="1">
      <alignment horizontal="center"/>
    </xf>
    <xf numFmtId="0" fontId="73" fillId="0" borderId="0" xfId="0" applyFont="1" applyAlignment="1">
      <alignment vertical="center"/>
    </xf>
    <xf numFmtId="0" fontId="11" fillId="0" borderId="48" xfId="0" applyFont="1" applyBorder="1" applyAlignment="1">
      <alignment horizontal="center" vertical="center"/>
    </xf>
    <xf numFmtId="43" fontId="11" fillId="0" borderId="8" xfId="0" applyNumberFormat="1" applyFont="1" applyBorder="1" applyAlignment="1">
      <alignment vertical="center"/>
    </xf>
    <xf numFmtId="43" fontId="11" fillId="0" borderId="8" xfId="24" applyFont="1" applyBorder="1" applyAlignment="1">
      <alignment horizontal="center" vertical="center"/>
    </xf>
    <xf numFmtId="0" fontId="94" fillId="3" borderId="48" xfId="0" applyFont="1" applyFill="1" applyBorder="1" applyAlignment="1">
      <alignment horizontal="center" vertical="center" wrapText="1"/>
    </xf>
    <xf numFmtId="0" fontId="94" fillId="3" borderId="8" xfId="0" applyFont="1" applyFill="1" applyBorder="1" applyAlignment="1">
      <alignment horizontal="center" vertical="center" wrapText="1"/>
    </xf>
    <xf numFmtId="0" fontId="95" fillId="0" borderId="48" xfId="0" applyFont="1" applyBorder="1" applyAlignment="1">
      <alignment horizontal="center" vertical="center" wrapText="1"/>
    </xf>
    <xf numFmtId="0" fontId="95" fillId="0" borderId="8" xfId="0" applyFont="1" applyBorder="1" applyAlignment="1">
      <alignment vertical="center" wrapText="1"/>
    </xf>
    <xf numFmtId="0" fontId="95" fillId="0" borderId="8" xfId="0" applyFont="1" applyBorder="1" applyAlignment="1">
      <alignment horizontal="center" vertical="center" wrapText="1"/>
    </xf>
    <xf numFmtId="4" fontId="95" fillId="0" borderId="8" xfId="0" applyNumberFormat="1" applyFont="1" applyBorder="1" applyAlignment="1">
      <alignment horizontal="center" vertical="center" wrapText="1"/>
    </xf>
    <xf numFmtId="9" fontId="95" fillId="0" borderId="8" xfId="0" applyNumberFormat="1" applyFont="1" applyBorder="1" applyAlignment="1">
      <alignment horizontal="center" vertical="center" wrapText="1"/>
    </xf>
    <xf numFmtId="10" fontId="95" fillId="0" borderId="8" xfId="0" applyNumberFormat="1" applyFont="1" applyBorder="1" applyAlignment="1">
      <alignment horizontal="center" vertical="center" wrapText="1"/>
    </xf>
    <xf numFmtId="0" fontId="95" fillId="0" borderId="50" xfId="0" applyFont="1" applyBorder="1" applyAlignment="1">
      <alignment horizontal="center" vertical="center" wrapText="1"/>
    </xf>
    <xf numFmtId="0" fontId="95" fillId="0" borderId="51" xfId="0" applyFont="1" applyBorder="1" applyAlignment="1">
      <alignment horizontal="justify" vertical="center" wrapText="1"/>
    </xf>
    <xf numFmtId="4" fontId="95" fillId="0" borderId="51" xfId="0" applyNumberFormat="1" applyFont="1" applyBorder="1" applyAlignment="1">
      <alignment horizontal="center" vertical="center" wrapText="1"/>
    </xf>
    <xf numFmtId="0" fontId="31" fillId="0" borderId="60" xfId="0" applyFont="1" applyBorder="1" applyAlignment="1">
      <alignment horizontal="center" vertical="center" wrapText="1"/>
    </xf>
    <xf numFmtId="0" fontId="24" fillId="0" borderId="8" xfId="0" applyFont="1" applyBorder="1" applyAlignment="1">
      <alignment horizontal="left" vertical="center" wrapText="1"/>
    </xf>
    <xf numFmtId="0" fontId="21" fillId="3" borderId="16" xfId="0" applyFont="1" applyFill="1" applyBorder="1" applyAlignment="1">
      <alignment horizontal="left" vertical="center" wrapText="1"/>
    </xf>
    <xf numFmtId="3" fontId="96" fillId="0" borderId="8" xfId="25" applyNumberFormat="1" applyFont="1" applyBorder="1" applyAlignment="1">
      <alignment horizontal="center" vertical="center" wrapText="1"/>
    </xf>
    <xf numFmtId="0" fontId="97" fillId="0" borderId="0" xfId="0" applyFont="1" applyAlignment="1">
      <alignment horizontal="left" vertical="center"/>
    </xf>
    <xf numFmtId="44" fontId="39" fillId="16" borderId="8" xfId="24" applyNumberFormat="1" applyFont="1" applyFill="1" applyBorder="1" applyAlignment="1">
      <alignment horizontal="center" vertical="center"/>
    </xf>
    <xf numFmtId="0" fontId="23" fillId="3" borderId="8" xfId="0" applyFont="1" applyFill="1" applyBorder="1" applyAlignment="1">
      <alignment horizontal="center"/>
    </xf>
    <xf numFmtId="0" fontId="23" fillId="3" borderId="8" xfId="0" applyFont="1" applyFill="1" applyBorder="1"/>
    <xf numFmtId="0" fontId="40" fillId="28" borderId="8" xfId="0" applyFont="1" applyFill="1" applyBorder="1" applyAlignment="1">
      <alignment horizontal="center" vertical="center" wrapText="1"/>
    </xf>
    <xf numFmtId="0" fontId="41" fillId="28" borderId="8" xfId="0" applyFont="1" applyFill="1" applyBorder="1" applyAlignment="1">
      <alignment horizontal="center" vertical="center" wrapText="1"/>
    </xf>
    <xf numFmtId="0" fontId="23" fillId="0" borderId="0" xfId="0" applyFont="1" applyAlignment="1">
      <alignment wrapText="1"/>
    </xf>
    <xf numFmtId="0" fontId="4" fillId="0" borderId="20" xfId="25" applyBorder="1" applyAlignment="1">
      <alignment horizontal="center" vertical="center" wrapText="1"/>
    </xf>
    <xf numFmtId="3" fontId="11" fillId="0" borderId="20" xfId="25" applyNumberFormat="1" applyFont="1" applyBorder="1" applyAlignment="1">
      <alignment horizontal="center" vertical="center" wrapText="1"/>
    </xf>
    <xf numFmtId="3" fontId="11" fillId="0" borderId="8" xfId="25" applyNumberFormat="1" applyFont="1" applyBorder="1" applyAlignment="1">
      <alignment horizontal="center" vertical="center" wrapText="1"/>
    </xf>
    <xf numFmtId="0" fontId="11" fillId="0" borderId="8" xfId="25" applyFont="1" applyBorder="1" applyAlignment="1">
      <alignment horizontal="left" vertical="center" wrapText="1"/>
    </xf>
    <xf numFmtId="3" fontId="11" fillId="14" borderId="0" xfId="25" applyNumberFormat="1" applyFont="1" applyFill="1" applyAlignment="1">
      <alignment horizontal="center" vertical="center"/>
    </xf>
    <xf numFmtId="0" fontId="43" fillId="0" borderId="8" xfId="25" applyFont="1" applyBorder="1" applyAlignment="1">
      <alignment horizontal="center" vertical="center" wrapText="1"/>
    </xf>
    <xf numFmtId="3" fontId="99" fillId="0" borderId="8" xfId="25" applyNumberFormat="1" applyFont="1" applyBorder="1" applyAlignment="1">
      <alignment horizontal="center" vertical="center" wrapText="1"/>
    </xf>
    <xf numFmtId="44" fontId="99" fillId="16" borderId="27" xfId="25" applyNumberFormat="1" applyFont="1" applyFill="1" applyBorder="1" applyAlignment="1">
      <alignment horizontal="center" vertical="center" wrapText="1"/>
    </xf>
    <xf numFmtId="44" fontId="99" fillId="4" borderId="32" xfId="25" applyNumberFormat="1" applyFont="1" applyFill="1" applyBorder="1" applyAlignment="1">
      <alignment horizontal="center" vertical="center" wrapText="1"/>
    </xf>
    <xf numFmtId="44" fontId="99" fillId="3" borderId="33" xfId="25" applyNumberFormat="1" applyFont="1" applyFill="1" applyBorder="1" applyAlignment="1">
      <alignment horizontal="center" vertical="center" wrapText="1"/>
    </xf>
    <xf numFmtId="0" fontId="43" fillId="9" borderId="65" xfId="74" applyFont="1" applyFill="1" applyBorder="1" applyAlignment="1">
      <alignment horizontal="center" vertical="center"/>
    </xf>
    <xf numFmtId="0" fontId="43" fillId="9" borderId="63" xfId="74" applyFont="1" applyFill="1" applyBorder="1" applyAlignment="1">
      <alignment horizontal="center" vertical="center"/>
    </xf>
    <xf numFmtId="0" fontId="100" fillId="0" borderId="0" xfId="0" applyFont="1"/>
    <xf numFmtId="43" fontId="100" fillId="0" borderId="8" xfId="24" applyFont="1" applyBorder="1" applyAlignment="1">
      <alignment horizontal="center" vertical="center"/>
    </xf>
    <xf numFmtId="4" fontId="100" fillId="0" borderId="0" xfId="0" applyNumberFormat="1" applyFont="1" applyAlignment="1">
      <alignment horizontal="center" vertical="center"/>
    </xf>
    <xf numFmtId="0" fontId="43" fillId="9" borderId="55" xfId="74" applyFont="1" applyFill="1" applyBorder="1" applyAlignment="1">
      <alignment wrapText="1"/>
    </xf>
    <xf numFmtId="0" fontId="43" fillId="0" borderId="55" xfId="74" applyFont="1" applyBorder="1" applyAlignment="1">
      <alignment wrapText="1"/>
    </xf>
    <xf numFmtId="0" fontId="0" fillId="0" borderId="8" xfId="0" applyBorder="1" applyAlignment="1">
      <alignment horizontal="center"/>
    </xf>
    <xf numFmtId="0" fontId="0" fillId="0" borderId="8" xfId="0" applyBorder="1" applyAlignment="1">
      <alignment horizontal="center" wrapText="1"/>
    </xf>
    <xf numFmtId="44" fontId="11" fillId="16" borderId="32" xfId="25" applyNumberFormat="1" applyFont="1" applyFill="1" applyBorder="1" applyAlignment="1">
      <alignment horizontal="center" vertical="center" wrapText="1"/>
    </xf>
    <xf numFmtId="44" fontId="11" fillId="16" borderId="27" xfId="25" applyNumberFormat="1" applyFont="1" applyFill="1" applyBorder="1" applyAlignment="1">
      <alignment horizontal="center" vertical="center" wrapText="1"/>
    </xf>
    <xf numFmtId="0" fontId="11" fillId="0" borderId="20" xfId="25" applyFont="1" applyBorder="1" applyAlignment="1">
      <alignment horizontal="left" vertical="center" wrapText="1"/>
    </xf>
    <xf numFmtId="0" fontId="11" fillId="14" borderId="0" xfId="25" applyFont="1" applyFill="1" applyAlignment="1">
      <alignment horizontal="left" vertical="center"/>
    </xf>
    <xf numFmtId="0" fontId="50" fillId="0" borderId="0" xfId="0" applyFont="1"/>
    <xf numFmtId="0" fontId="50" fillId="21" borderId="0" xfId="0" applyFont="1" applyFill="1" applyAlignment="1">
      <alignment horizontal="center"/>
    </xf>
    <xf numFmtId="0" fontId="9" fillId="84" borderId="0" xfId="0" applyFont="1" applyFill="1" applyAlignment="1">
      <alignment horizontal="center"/>
    </xf>
    <xf numFmtId="0" fontId="31" fillId="16" borderId="0" xfId="0" applyFont="1" applyFill="1" applyAlignment="1">
      <alignment horizontal="center" vertical="center" wrapText="1"/>
    </xf>
    <xf numFmtId="165" fontId="10" fillId="0" borderId="8" xfId="3" applyBorder="1" applyAlignment="1">
      <alignment horizontal="center" vertical="center"/>
    </xf>
    <xf numFmtId="165" fontId="9" fillId="16" borderId="8" xfId="3" applyFont="1" applyFill="1" applyBorder="1" applyAlignment="1">
      <alignment horizontal="center" vertical="center"/>
    </xf>
    <xf numFmtId="165" fontId="9" fillId="0" borderId="8" xfId="3" applyFont="1" applyBorder="1" applyAlignment="1">
      <alignment horizontal="center" vertical="center"/>
    </xf>
    <xf numFmtId="165" fontId="9" fillId="0" borderId="0" xfId="3" applyFont="1" applyBorder="1" applyAlignment="1">
      <alignment horizontal="center" vertical="center"/>
    </xf>
    <xf numFmtId="165" fontId="10" fillId="0" borderId="0" xfId="3" applyBorder="1" applyAlignment="1">
      <alignment horizontal="center" vertical="center"/>
    </xf>
    <xf numFmtId="0" fontId="101" fillId="0" borderId="0" xfId="0" applyFont="1"/>
    <xf numFmtId="0" fontId="31" fillId="84" borderId="60" xfId="0" applyFont="1" applyFill="1" applyBorder="1" applyAlignment="1">
      <alignment horizontal="center" vertical="center" wrapText="1"/>
    </xf>
    <xf numFmtId="0" fontId="31" fillId="84" borderId="61" xfId="0" applyFont="1" applyFill="1" applyBorder="1" applyAlignment="1">
      <alignment horizontal="center" vertical="center" wrapText="1"/>
    </xf>
    <xf numFmtId="165" fontId="10" fillId="10" borderId="8" xfId="3" applyFill="1" applyBorder="1" applyAlignment="1">
      <alignment horizontal="center" vertical="center"/>
    </xf>
    <xf numFmtId="165" fontId="10" fillId="0" borderId="34" xfId="3" applyBorder="1" applyAlignment="1">
      <alignment horizontal="center" vertical="center"/>
    </xf>
    <xf numFmtId="0" fontId="31" fillId="84" borderId="8" xfId="0" applyFont="1" applyFill="1" applyBorder="1" applyAlignment="1">
      <alignment horizontal="center" vertical="center" wrapText="1"/>
    </xf>
    <xf numFmtId="44" fontId="0" fillId="0" borderId="8" xfId="0" applyNumberFormat="1" applyBorder="1"/>
    <xf numFmtId="165" fontId="101" fillId="0" borderId="8" xfId="3" applyFont="1" applyBorder="1"/>
    <xf numFmtId="165" fontId="10" fillId="0" borderId="8" xfId="3" applyBorder="1"/>
    <xf numFmtId="0" fontId="9" fillId="0" borderId="8" xfId="0" applyFont="1" applyBorder="1" applyAlignment="1">
      <alignment vertical="center"/>
    </xf>
    <xf numFmtId="0" fontId="102" fillId="0" borderId="8" xfId="0" applyFont="1" applyBorder="1" applyAlignment="1">
      <alignment horizontal="left" wrapText="1"/>
    </xf>
    <xf numFmtId="165" fontId="10" fillId="0" borderId="0" xfId="3"/>
    <xf numFmtId="43" fontId="0" fillId="0" borderId="8" xfId="0" applyNumberFormat="1" applyBorder="1"/>
    <xf numFmtId="165" fontId="0" fillId="0" borderId="8" xfId="0" applyNumberFormat="1" applyBorder="1"/>
    <xf numFmtId="165" fontId="53" fillId="10" borderId="8" xfId="3" applyFont="1" applyFill="1" applyBorder="1"/>
    <xf numFmtId="165" fontId="103" fillId="0" borderId="0" xfId="3" applyFont="1" applyAlignment="1">
      <alignment wrapText="1"/>
    </xf>
    <xf numFmtId="10" fontId="0" fillId="10" borderId="0" xfId="0" applyNumberFormat="1" applyFill="1" applyAlignment="1">
      <alignment wrapText="1"/>
    </xf>
    <xf numFmtId="0" fontId="41" fillId="16" borderId="11" xfId="0" applyFont="1" applyFill="1" applyBorder="1" applyAlignment="1">
      <alignment horizontal="center" vertical="center" wrapText="1"/>
    </xf>
    <xf numFmtId="0" fontId="9" fillId="0" borderId="8" xfId="3" applyNumberFormat="1" applyFont="1" applyBorder="1" applyAlignment="1">
      <alignment horizontal="center" vertical="center"/>
    </xf>
    <xf numFmtId="165" fontId="9" fillId="0" borderId="13" xfId="3" applyFont="1" applyBorder="1" applyAlignment="1">
      <alignment horizontal="center" vertical="center"/>
    </xf>
    <xf numFmtId="165" fontId="23" fillId="0" borderId="8" xfId="0" applyNumberFormat="1" applyFont="1" applyBorder="1" applyAlignment="1">
      <alignment horizontal="center" vertical="center" wrapText="1"/>
    </xf>
    <xf numFmtId="3" fontId="104" fillId="0" borderId="8" xfId="25" applyNumberFormat="1" applyFont="1" applyBorder="1" applyAlignment="1">
      <alignment horizontal="center" vertical="center" wrapText="1"/>
    </xf>
    <xf numFmtId="3" fontId="104" fillId="14" borderId="0" xfId="25" applyNumberFormat="1" applyFont="1" applyFill="1" applyAlignment="1">
      <alignment horizontal="center" vertical="center"/>
    </xf>
    <xf numFmtId="0" fontId="104" fillId="0" borderId="0" xfId="0" applyFont="1" applyAlignment="1">
      <alignment horizontal="center" vertical="center"/>
    </xf>
    <xf numFmtId="44" fontId="105" fillId="16" borderId="32" xfId="25" applyNumberFormat="1" applyFont="1" applyFill="1" applyBorder="1" applyAlignment="1">
      <alignment horizontal="center" vertical="center" wrapText="1"/>
    </xf>
    <xf numFmtId="0" fontId="106" fillId="0" borderId="8" xfId="25" applyFont="1" applyBorder="1" applyAlignment="1">
      <alignment horizontal="left" vertical="center" wrapText="1"/>
    </xf>
    <xf numFmtId="44" fontId="105" fillId="16" borderId="27" xfId="25" applyNumberFormat="1" applyFont="1" applyFill="1" applyBorder="1" applyAlignment="1">
      <alignment horizontal="center" vertical="center" wrapText="1"/>
    </xf>
    <xf numFmtId="43" fontId="0" fillId="0" borderId="0" xfId="0" applyNumberFormat="1"/>
    <xf numFmtId="3" fontId="105" fillId="0" borderId="8" xfId="25" applyNumberFormat="1" applyFont="1" applyBorder="1" applyAlignment="1">
      <alignment horizontal="center" vertical="center" wrapText="1"/>
    </xf>
    <xf numFmtId="3" fontId="105" fillId="0" borderId="20" xfId="25" applyNumberFormat="1" applyFont="1" applyBorder="1" applyAlignment="1">
      <alignment horizontal="center" vertical="center" wrapText="1"/>
    </xf>
    <xf numFmtId="0" fontId="75" fillId="0" borderId="8" xfId="25" applyFont="1" applyBorder="1" applyAlignment="1">
      <alignment horizontal="left" vertical="center" wrapText="1"/>
    </xf>
    <xf numFmtId="44" fontId="105" fillId="3" borderId="33" xfId="25" applyNumberFormat="1" applyFont="1" applyFill="1" applyBorder="1" applyAlignment="1">
      <alignment horizontal="center" vertical="center" wrapText="1"/>
    </xf>
    <xf numFmtId="3" fontId="105" fillId="0" borderId="53" xfId="25" applyNumberFormat="1" applyFont="1" applyBorder="1" applyAlignment="1">
      <alignment horizontal="center" vertical="center" wrapText="1"/>
    </xf>
    <xf numFmtId="0" fontId="4" fillId="0" borderId="53" xfId="25" applyBorder="1" applyAlignment="1">
      <alignment horizontal="center" vertical="center" wrapText="1"/>
    </xf>
    <xf numFmtId="3" fontId="11" fillId="0" borderId="53" xfId="25" applyNumberFormat="1" applyFont="1" applyBorder="1" applyAlignment="1">
      <alignment horizontal="center" vertical="center" wrapText="1"/>
    </xf>
    <xf numFmtId="165" fontId="0" fillId="0" borderId="0" xfId="0" applyNumberFormat="1"/>
    <xf numFmtId="44" fontId="21" fillId="16" borderId="8" xfId="24" applyNumberFormat="1" applyFont="1" applyFill="1" applyBorder="1" applyAlignment="1">
      <alignment horizontal="center" vertical="center"/>
    </xf>
    <xf numFmtId="43" fontId="0" fillId="3" borderId="8" xfId="0" applyNumberFormat="1" applyFill="1" applyBorder="1"/>
    <xf numFmtId="0" fontId="21" fillId="3" borderId="8" xfId="0" applyFont="1" applyFill="1" applyBorder="1" applyAlignment="1">
      <alignment horizontal="center" vertical="center" wrapText="1"/>
    </xf>
    <xf numFmtId="165" fontId="53" fillId="3" borderId="8" xfId="0" applyNumberFormat="1" applyFont="1" applyFill="1" applyBorder="1"/>
    <xf numFmtId="43" fontId="23" fillId="3" borderId="8" xfId="0" applyNumberFormat="1" applyFont="1" applyFill="1" applyBorder="1"/>
    <xf numFmtId="43" fontId="23" fillId="0" borderId="0" xfId="0" applyNumberFormat="1" applyFont="1"/>
    <xf numFmtId="165" fontId="0" fillId="3" borderId="8" xfId="0" applyNumberFormat="1" applyFill="1" applyBorder="1" applyAlignment="1">
      <alignment horizontal="center" vertical="center"/>
    </xf>
    <xf numFmtId="43" fontId="23" fillId="3" borderId="8" xfId="0" applyNumberFormat="1" applyFont="1" applyFill="1" applyBorder="1" applyAlignment="1">
      <alignment horizontal="center" vertical="center"/>
    </xf>
    <xf numFmtId="0" fontId="23" fillId="3" borderId="8" xfId="0" applyFont="1" applyFill="1" applyBorder="1" applyAlignment="1">
      <alignment horizontal="center" vertical="center"/>
    </xf>
    <xf numFmtId="43" fontId="0" fillId="3" borderId="8" xfId="0" applyNumberFormat="1" applyFill="1" applyBorder="1" applyAlignment="1">
      <alignment horizontal="center" vertical="center"/>
    </xf>
    <xf numFmtId="0" fontId="38" fillId="28" borderId="12" xfId="0" applyFont="1" applyFill="1" applyBorder="1" applyAlignment="1">
      <alignment vertical="center"/>
    </xf>
    <xf numFmtId="0" fontId="38" fillId="28" borderId="16" xfId="0" applyFont="1" applyFill="1" applyBorder="1" applyAlignment="1">
      <alignment vertical="center"/>
    </xf>
    <xf numFmtId="0" fontId="41" fillId="28" borderId="12" xfId="0" applyFont="1" applyFill="1" applyBorder="1" applyAlignment="1">
      <alignment horizontal="center" vertical="center" wrapText="1"/>
    </xf>
    <xf numFmtId="0" fontId="0" fillId="0" borderId="12" xfId="0" applyBorder="1"/>
    <xf numFmtId="0" fontId="54" fillId="0" borderId="0" xfId="0" applyFont="1" applyAlignment="1">
      <alignment vertical="center"/>
    </xf>
    <xf numFmtId="0" fontId="42" fillId="0" borderId="0" xfId="0" applyFont="1" applyAlignment="1">
      <alignment horizontal="center" vertical="center" wrapText="1"/>
    </xf>
    <xf numFmtId="44" fontId="38" fillId="0" borderId="0" xfId="0" applyNumberFormat="1" applyFont="1" applyAlignment="1">
      <alignment horizontal="center" vertical="center"/>
    </xf>
    <xf numFmtId="0" fontId="38" fillId="0" borderId="0" xfId="0" applyFont="1" applyAlignment="1">
      <alignment vertical="center"/>
    </xf>
    <xf numFmtId="3" fontId="38" fillId="0" borderId="0" xfId="0" applyNumberFormat="1" applyFont="1" applyAlignment="1">
      <alignment horizontal="center" vertical="center"/>
    </xf>
    <xf numFmtId="44" fontId="38" fillId="28" borderId="8" xfId="0" applyNumberFormat="1" applyFont="1" applyFill="1" applyBorder="1" applyAlignment="1">
      <alignment vertical="center"/>
    </xf>
    <xf numFmtId="0" fontId="23" fillId="0" borderId="8" xfId="0" applyFont="1" applyBorder="1" applyAlignment="1">
      <alignment horizontal="center" vertical="center"/>
    </xf>
    <xf numFmtId="165" fontId="0" fillId="0" borderId="12" xfId="0" applyNumberFormat="1" applyBorder="1" applyAlignment="1">
      <alignment horizontal="center" vertical="center"/>
    </xf>
    <xf numFmtId="43" fontId="0" fillId="0" borderId="8" xfId="0" applyNumberFormat="1" applyBorder="1" applyAlignment="1">
      <alignment horizontal="center" vertical="center"/>
    </xf>
    <xf numFmtId="0" fontId="0" fillId="0" borderId="12" xfId="0" applyBorder="1" applyAlignment="1">
      <alignment horizontal="center" vertical="center"/>
    </xf>
    <xf numFmtId="43" fontId="0" fillId="0" borderId="12" xfId="24" applyFont="1" applyBorder="1" applyAlignment="1">
      <alignment horizontal="center" vertical="center"/>
    </xf>
    <xf numFmtId="44" fontId="47" fillId="3" borderId="33" xfId="25" applyNumberFormat="1" applyFont="1" applyFill="1" applyBorder="1" applyAlignment="1">
      <alignment horizontal="center" vertical="center" wrapText="1"/>
    </xf>
    <xf numFmtId="43" fontId="0" fillId="0" borderId="8" xfId="24" applyFont="1" applyBorder="1" applyAlignment="1">
      <alignment horizontal="center"/>
    </xf>
    <xf numFmtId="171" fontId="0" fillId="16" borderId="8" xfId="0" applyNumberFormat="1" applyFill="1" applyBorder="1"/>
    <xf numFmtId="44" fontId="104" fillId="16" borderId="27" xfId="25" applyNumberFormat="1" applyFont="1" applyFill="1" applyBorder="1" applyAlignment="1">
      <alignment horizontal="center" vertical="center" wrapText="1"/>
    </xf>
    <xf numFmtId="0" fontId="0" fillId="0" borderId="68" xfId="0" applyBorder="1" applyAlignment="1">
      <alignment vertical="center" wrapText="1"/>
    </xf>
    <xf numFmtId="165" fontId="5" fillId="3" borderId="8" xfId="3" applyFont="1" applyFill="1" applyBorder="1" applyAlignment="1" applyProtection="1">
      <alignment vertical="center"/>
      <protection locked="0"/>
    </xf>
    <xf numFmtId="0" fontId="9" fillId="0" borderId="34" xfId="0" applyFont="1" applyBorder="1" applyAlignment="1">
      <alignment horizontal="center" vertical="center" wrapText="1"/>
    </xf>
    <xf numFmtId="44" fontId="11" fillId="3" borderId="90" xfId="0" applyNumberFormat="1" applyFont="1" applyFill="1" applyBorder="1" applyAlignment="1">
      <alignment horizontal="center" vertical="center"/>
    </xf>
    <xf numFmtId="0" fontId="9" fillId="3" borderId="91" xfId="0" applyFont="1" applyFill="1" applyBorder="1" applyAlignment="1">
      <alignment horizontal="center" vertical="center"/>
    </xf>
    <xf numFmtId="165" fontId="11" fillId="3" borderId="70" xfId="3" applyFont="1" applyFill="1" applyBorder="1" applyAlignment="1" applyProtection="1">
      <alignment vertical="center"/>
      <protection locked="0"/>
    </xf>
    <xf numFmtId="0" fontId="107" fillId="0" borderId="8" xfId="0" applyFont="1" applyBorder="1" applyAlignment="1">
      <alignment vertical="center" wrapText="1"/>
    </xf>
    <xf numFmtId="8" fontId="108" fillId="0" borderId="8" xfId="0" applyNumberFormat="1" applyFont="1" applyBorder="1" applyAlignment="1">
      <alignment vertical="center" wrapText="1"/>
    </xf>
    <xf numFmtId="9" fontId="108" fillId="0" borderId="8" xfId="0" applyNumberFormat="1" applyFont="1" applyBorder="1" applyAlignment="1">
      <alignment vertical="center" wrapText="1"/>
    </xf>
    <xf numFmtId="0" fontId="108" fillId="0" borderId="8" xfId="0" applyFont="1" applyBorder="1" applyAlignment="1">
      <alignment horizontal="center" vertical="center" wrapText="1"/>
    </xf>
    <xf numFmtId="44" fontId="11" fillId="3" borderId="0" xfId="0" applyNumberFormat="1" applyFont="1" applyFill="1" applyAlignment="1">
      <alignment horizontal="center" vertical="center"/>
    </xf>
    <xf numFmtId="0" fontId="51" fillId="0" borderId="75" xfId="0" applyFont="1" applyBorder="1" applyAlignment="1">
      <alignment vertical="center" wrapText="1"/>
    </xf>
    <xf numFmtId="0" fontId="51" fillId="0" borderId="37" xfId="0" applyFont="1" applyBorder="1" applyAlignment="1">
      <alignment horizontal="center" vertical="center" wrapText="1"/>
    </xf>
    <xf numFmtId="0" fontId="51" fillId="0" borderId="37" xfId="0" applyFont="1" applyBorder="1" applyAlignment="1">
      <alignment vertical="center"/>
    </xf>
    <xf numFmtId="0" fontId="51" fillId="0" borderId="76" xfId="0" applyFont="1" applyBorder="1" applyAlignment="1">
      <alignment vertical="center" wrapText="1"/>
    </xf>
    <xf numFmtId="0" fontId="51" fillId="0" borderId="77" xfId="0" applyFont="1" applyBorder="1" applyAlignment="1">
      <alignment horizontal="center" vertical="center" wrapText="1"/>
    </xf>
    <xf numFmtId="8" fontId="51" fillId="0" borderId="77" xfId="0" applyNumberFormat="1" applyFont="1" applyBorder="1" applyAlignment="1">
      <alignment vertical="center"/>
    </xf>
    <xf numFmtId="0" fontId="5" fillId="3" borderId="92" xfId="0" applyFont="1" applyFill="1" applyBorder="1" applyAlignment="1">
      <alignment vertical="center"/>
    </xf>
    <xf numFmtId="0" fontId="75" fillId="3" borderId="8" xfId="0" applyFont="1" applyFill="1" applyBorder="1" applyAlignment="1" applyProtection="1">
      <alignment horizontal="center" vertical="center" wrapText="1"/>
      <protection locked="0"/>
    </xf>
    <xf numFmtId="0" fontId="109" fillId="0" borderId="0" xfId="0" applyFont="1"/>
    <xf numFmtId="0" fontId="110" fillId="0" borderId="0" xfId="0" applyFont="1" applyAlignment="1">
      <alignment vertical="center"/>
    </xf>
    <xf numFmtId="43" fontId="0" fillId="10" borderId="8" xfId="24" applyFont="1" applyFill="1" applyBorder="1" applyAlignment="1">
      <alignment horizontal="center" vertical="center"/>
    </xf>
    <xf numFmtId="0" fontId="0" fillId="0" borderId="0" xfId="0" applyAlignment="1">
      <alignment vertical="center" wrapText="1"/>
    </xf>
    <xf numFmtId="0" fontId="0" fillId="10" borderId="8" xfId="0" applyFill="1" applyBorder="1" applyAlignment="1">
      <alignment vertical="center" wrapText="1"/>
    </xf>
    <xf numFmtId="0" fontId="0" fillId="10" borderId="8" xfId="0" applyFill="1" applyBorder="1" applyAlignment="1">
      <alignment horizontal="center" vertical="center"/>
    </xf>
    <xf numFmtId="0" fontId="9" fillId="0" borderId="68" xfId="0" applyFont="1" applyBorder="1" applyAlignment="1">
      <alignment horizontal="center" vertical="center"/>
    </xf>
    <xf numFmtId="0" fontId="9" fillId="0" borderId="0" xfId="0" applyFont="1" applyAlignment="1">
      <alignment horizontal="center" vertical="center"/>
    </xf>
    <xf numFmtId="0" fontId="9" fillId="0" borderId="61" xfId="0" applyFont="1" applyBorder="1" applyAlignment="1">
      <alignment horizontal="center" vertical="center"/>
    </xf>
    <xf numFmtId="0" fontId="9" fillId="0" borderId="56"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0" xfId="0" applyFont="1" applyBorder="1" applyAlignment="1">
      <alignment horizontal="center" vertical="center" wrapText="1"/>
    </xf>
    <xf numFmtId="0" fontId="9" fillId="10" borderId="8" xfId="0" applyFont="1" applyFill="1" applyBorder="1" applyAlignment="1">
      <alignment horizontal="center" vertical="center"/>
    </xf>
    <xf numFmtId="0" fontId="9" fillId="0" borderId="8" xfId="0" applyFont="1" applyBorder="1" applyAlignment="1">
      <alignment horizontal="center" vertical="center" wrapText="1"/>
    </xf>
    <xf numFmtId="0" fontId="0" fillId="0" borderId="0" xfId="0" applyAlignment="1">
      <alignment horizontal="center"/>
    </xf>
    <xf numFmtId="0" fontId="16" fillId="0" borderId="0" xfId="11" applyFont="1" applyAlignment="1">
      <alignment horizontal="left" vertical="center" wrapText="1"/>
    </xf>
    <xf numFmtId="0" fontId="17" fillId="0" borderId="22" xfId="11" applyFont="1" applyBorder="1" applyAlignment="1">
      <alignment horizontal="justify" vertical="center" wrapText="1"/>
    </xf>
    <xf numFmtId="0" fontId="17" fillId="0" borderId="0" xfId="11" applyFont="1" applyAlignment="1">
      <alignment horizontal="justify" vertical="center" wrapText="1"/>
    </xf>
    <xf numFmtId="0" fontId="17" fillId="0" borderId="23" xfId="11" applyFont="1" applyBorder="1" applyAlignment="1">
      <alignment horizontal="justify" vertical="center" wrapText="1"/>
    </xf>
    <xf numFmtId="0" fontId="17" fillId="29" borderId="54" xfId="0" applyFont="1" applyFill="1" applyBorder="1" applyAlignment="1">
      <alignment horizontal="left" vertical="center" wrapText="1"/>
    </xf>
    <xf numFmtId="0" fontId="17" fillId="29" borderId="58" xfId="0" applyFont="1" applyFill="1" applyBorder="1" applyAlignment="1">
      <alignment horizontal="left" vertical="center" wrapText="1"/>
    </xf>
    <xf numFmtId="0" fontId="17" fillId="29" borderId="57" xfId="0" applyFont="1" applyFill="1" applyBorder="1" applyAlignment="1">
      <alignment horizontal="left" vertical="center" wrapText="1"/>
    </xf>
    <xf numFmtId="0" fontId="16" fillId="0" borderId="22" xfId="11" applyFont="1" applyBorder="1" applyAlignment="1">
      <alignment horizontal="justify" vertical="center" wrapText="1"/>
    </xf>
    <xf numFmtId="0" fontId="16" fillId="0" borderId="0" xfId="11" applyFont="1" applyAlignment="1">
      <alignment horizontal="justify" vertical="center" wrapText="1"/>
    </xf>
    <xf numFmtId="0" fontId="16" fillId="0" borderId="23" xfId="11" applyFont="1" applyBorder="1" applyAlignment="1">
      <alignment horizontal="justify" vertical="center" wrapText="1"/>
    </xf>
    <xf numFmtId="0" fontId="16" fillId="0" borderId="22" xfId="11" applyFont="1" applyBorder="1" applyAlignment="1">
      <alignment horizontal="left" vertical="center" wrapText="1"/>
    </xf>
    <xf numFmtId="0" fontId="16" fillId="0" borderId="23" xfId="11" applyFont="1" applyBorder="1" applyAlignment="1">
      <alignment horizontal="left" vertical="center" wrapText="1"/>
    </xf>
    <xf numFmtId="0" fontId="17" fillId="16" borderId="8" xfId="11" applyFont="1" applyFill="1" applyBorder="1" applyAlignment="1">
      <alignment horizontal="center" vertical="center" wrapText="1"/>
    </xf>
    <xf numFmtId="0" fontId="17" fillId="16" borderId="12" xfId="11" applyFont="1" applyFill="1" applyBorder="1" applyAlignment="1">
      <alignment horizontal="center" vertical="center" wrapText="1"/>
    </xf>
    <xf numFmtId="0" fontId="17" fillId="16" borderId="16" xfId="11" applyFont="1" applyFill="1" applyBorder="1" applyAlignment="1">
      <alignment horizontal="center" vertical="center" wrapText="1"/>
    </xf>
    <xf numFmtId="0" fontId="17" fillId="16" borderId="13" xfId="11" applyFont="1" applyFill="1" applyBorder="1" applyAlignment="1">
      <alignment horizontal="center" vertical="center" wrapText="1"/>
    </xf>
    <xf numFmtId="0" fontId="16" fillId="0" borderId="12" xfId="11" applyFont="1" applyBorder="1" applyAlignment="1">
      <alignment horizontal="left" vertical="center" wrapText="1"/>
    </xf>
    <xf numFmtId="0" fontId="16" fillId="0" borderId="13" xfId="11" applyFont="1" applyBorder="1" applyAlignment="1">
      <alignment horizontal="left" vertical="center" wrapText="1"/>
    </xf>
    <xf numFmtId="0" fontId="17" fillId="0" borderId="11" xfId="11" applyFont="1" applyBorder="1" applyAlignment="1">
      <alignment horizontal="center" vertical="center" wrapText="1"/>
    </xf>
    <xf numFmtId="0" fontId="17" fillId="0" borderId="20" xfId="11" applyFont="1" applyBorder="1" applyAlignment="1">
      <alignment horizontal="center" vertical="center" wrapText="1"/>
    </xf>
    <xf numFmtId="0" fontId="15" fillId="0" borderId="0" xfId="11" applyFont="1" applyAlignment="1">
      <alignment horizontal="center" vertical="center" wrapText="1"/>
    </xf>
    <xf numFmtId="0" fontId="45" fillId="11" borderId="12" xfId="11" applyFont="1" applyFill="1" applyBorder="1" applyAlignment="1">
      <alignment horizontal="center" vertical="center" wrapText="1"/>
    </xf>
    <xf numFmtId="0" fontId="45" fillId="11" borderId="16" xfId="11" applyFont="1" applyFill="1" applyBorder="1" applyAlignment="1">
      <alignment horizontal="center" vertical="center" wrapText="1"/>
    </xf>
    <xf numFmtId="0" fontId="45" fillId="11" borderId="13" xfId="11" applyFont="1" applyFill="1" applyBorder="1" applyAlignment="1">
      <alignment horizontal="center" vertical="center" wrapText="1"/>
    </xf>
    <xf numFmtId="0" fontId="16" fillId="0" borderId="16" xfId="11" applyFont="1" applyBorder="1" applyAlignment="1">
      <alignment horizontal="left" vertical="center" wrapText="1"/>
    </xf>
    <xf numFmtId="0" fontId="16" fillId="0" borderId="14" xfId="11" applyFont="1" applyBorder="1" applyAlignment="1">
      <alignment horizontal="center" vertical="center" wrapText="1"/>
    </xf>
    <xf numFmtId="0" fontId="16" fillId="0" borderId="15" xfId="11" applyFont="1" applyBorder="1" applyAlignment="1">
      <alignment horizontal="center" vertical="center" wrapText="1"/>
    </xf>
    <xf numFmtId="0" fontId="16" fillId="0" borderId="24" xfId="11" applyFont="1" applyBorder="1" applyAlignment="1">
      <alignment horizontal="center" vertical="center" wrapText="1"/>
    </xf>
    <xf numFmtId="0" fontId="16" fillId="0" borderId="26" xfId="11" applyFont="1" applyBorder="1" applyAlignment="1">
      <alignment horizontal="center" vertical="center" wrapText="1"/>
    </xf>
    <xf numFmtId="10" fontId="16" fillId="0" borderId="11" xfId="12" applyNumberFormat="1" applyFont="1" applyFill="1" applyBorder="1" applyAlignment="1">
      <alignment horizontal="center" vertical="center" wrapText="1"/>
    </xf>
    <xf numFmtId="10" fontId="16" fillId="0" borderId="20" xfId="12" applyNumberFormat="1" applyFont="1" applyFill="1" applyBorder="1" applyAlignment="1">
      <alignment horizontal="center" vertical="center" wrapText="1"/>
    </xf>
    <xf numFmtId="0" fontId="45" fillId="11" borderId="8" xfId="11" applyFont="1" applyFill="1" applyBorder="1" applyAlignment="1">
      <alignment horizontal="center" vertical="center" wrapText="1"/>
    </xf>
    <xf numFmtId="0" fontId="16" fillId="0" borderId="14" xfId="11" applyFont="1" applyBorder="1" applyAlignment="1">
      <alignment horizontal="left" vertical="center" wrapText="1"/>
    </xf>
    <xf numFmtId="0" fontId="16" fillId="0" borderId="21" xfId="11" applyFont="1" applyBorder="1" applyAlignment="1">
      <alignment horizontal="left" vertical="center" wrapText="1"/>
    </xf>
    <xf numFmtId="0" fontId="16" fillId="0" borderId="15" xfId="11" applyFont="1" applyBorder="1" applyAlignment="1">
      <alignment horizontal="left" vertical="center" wrapText="1"/>
    </xf>
    <xf numFmtId="0" fontId="16" fillId="9" borderId="12" xfId="11" applyFont="1" applyFill="1" applyBorder="1" applyAlignment="1">
      <alignment horizontal="left" vertical="center" wrapText="1"/>
    </xf>
    <xf numFmtId="0" fontId="16" fillId="9" borderId="13" xfId="11" applyFont="1" applyFill="1" applyBorder="1" applyAlignment="1">
      <alignment horizontal="left" vertical="center" wrapText="1"/>
    </xf>
    <xf numFmtId="0" fontId="16" fillId="0" borderId="0" xfId="11" applyFont="1" applyAlignment="1">
      <alignment horizontal="center" vertical="center" wrapText="1"/>
    </xf>
    <xf numFmtId="0" fontId="20" fillId="0" borderId="8" xfId="0" applyFont="1" applyBorder="1" applyAlignment="1">
      <alignment horizontal="left" vertical="center" wrapText="1"/>
    </xf>
    <xf numFmtId="0" fontId="18" fillId="0" borderId="12" xfId="11" applyFont="1" applyBorder="1" applyAlignment="1">
      <alignment horizontal="left" vertical="center" wrapText="1"/>
    </xf>
    <xf numFmtId="0" fontId="18" fillId="0" borderId="16" xfId="11" applyFont="1" applyBorder="1" applyAlignment="1">
      <alignment horizontal="left" vertical="center" wrapText="1"/>
    </xf>
    <xf numFmtId="0" fontId="18" fillId="0" borderId="13" xfId="11" applyFont="1" applyBorder="1" applyAlignment="1">
      <alignment horizontal="left" vertical="center" wrapText="1"/>
    </xf>
    <xf numFmtId="0" fontId="17" fillId="0" borderId="24" xfId="11" applyFont="1" applyBorder="1" applyAlignment="1">
      <alignment horizontal="center" vertical="center" wrapText="1"/>
    </xf>
    <xf numFmtId="0" fontId="17" fillId="0" borderId="25" xfId="11" applyFont="1" applyBorder="1" applyAlignment="1">
      <alignment horizontal="center" vertical="center" wrapText="1"/>
    </xf>
    <xf numFmtId="0" fontId="17" fillId="0" borderId="0" xfId="11" applyFont="1" applyAlignment="1">
      <alignment horizontal="center" vertical="center" wrapText="1"/>
    </xf>
    <xf numFmtId="0" fontId="16" fillId="0" borderId="8" xfId="11" applyFont="1" applyBorder="1" applyAlignment="1">
      <alignment horizontal="left" vertical="center" wrapText="1"/>
    </xf>
    <xf numFmtId="0" fontId="28" fillId="3" borderId="12" xfId="0" applyFont="1" applyFill="1" applyBorder="1" applyAlignment="1">
      <alignment horizontal="left" vertical="center" wrapText="1"/>
    </xf>
    <xf numFmtId="0" fontId="28" fillId="3" borderId="16" xfId="0" applyFont="1" applyFill="1" applyBorder="1" applyAlignment="1">
      <alignment horizontal="left" vertical="center" wrapText="1"/>
    </xf>
    <xf numFmtId="0" fontId="28" fillId="3" borderId="13" xfId="0" applyFont="1" applyFill="1" applyBorder="1" applyAlignment="1">
      <alignment horizontal="left" vertical="center" wrapText="1"/>
    </xf>
    <xf numFmtId="0" fontId="25" fillId="16"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11" borderId="8" xfId="0" applyFont="1" applyFill="1" applyBorder="1" applyAlignment="1">
      <alignment horizontal="center" vertical="center" wrapText="1"/>
    </xf>
    <xf numFmtId="0" fontId="28" fillId="3" borderId="8" xfId="0" applyFont="1" applyFill="1" applyBorder="1" applyAlignment="1">
      <alignment horizontal="left" vertical="center" wrapText="1"/>
    </xf>
    <xf numFmtId="0" fontId="25" fillId="3" borderId="8" xfId="0" applyFont="1" applyFill="1" applyBorder="1" applyAlignment="1">
      <alignment horizontal="center" vertical="center"/>
    </xf>
    <xf numFmtId="0" fontId="28" fillId="4" borderId="8" xfId="0" applyFont="1" applyFill="1" applyBorder="1" applyAlignment="1">
      <alignment horizontal="left" vertical="center" wrapText="1"/>
    </xf>
    <xf numFmtId="0" fontId="25" fillId="0" borderId="0" xfId="0" applyFont="1" applyAlignment="1">
      <alignment horizontal="center" vertical="center"/>
    </xf>
    <xf numFmtId="0" fontId="9" fillId="16" borderId="8" xfId="0" applyFont="1" applyFill="1" applyBorder="1" applyAlignment="1">
      <alignment horizontal="center"/>
    </xf>
    <xf numFmtId="0" fontId="25" fillId="10" borderId="8" xfId="0" applyFont="1" applyFill="1" applyBorder="1" applyAlignment="1">
      <alignment horizontal="left" vertical="center" wrapText="1"/>
    </xf>
    <xf numFmtId="0" fontId="9" fillId="21" borderId="8" xfId="0" applyFont="1" applyFill="1" applyBorder="1" applyAlignment="1">
      <alignment horizontal="center" vertical="center" wrapText="1"/>
    </xf>
    <xf numFmtId="0" fontId="5" fillId="3" borderId="8" xfId="0" applyFont="1" applyFill="1" applyBorder="1" applyAlignment="1">
      <alignment vertical="center" wrapText="1"/>
    </xf>
    <xf numFmtId="0" fontId="5" fillId="3" borderId="8" xfId="0" applyFont="1" applyFill="1" applyBorder="1" applyAlignment="1" applyProtection="1">
      <alignment vertical="center" wrapText="1"/>
      <protection locked="0"/>
    </xf>
    <xf numFmtId="0" fontId="13" fillId="20" borderId="8" xfId="0" applyFont="1" applyFill="1" applyBorder="1" applyAlignment="1">
      <alignment horizontal="center" vertical="center"/>
    </xf>
    <xf numFmtId="0" fontId="12" fillId="3" borderId="12"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9" fillId="20" borderId="8" xfId="0" applyFont="1" applyFill="1" applyBorder="1" applyAlignment="1">
      <alignment horizontal="center" vertical="center"/>
    </xf>
    <xf numFmtId="0" fontId="9" fillId="20" borderId="11" xfId="0" applyFont="1" applyFill="1" applyBorder="1" applyAlignment="1">
      <alignment horizontal="center" vertical="center"/>
    </xf>
    <xf numFmtId="0" fontId="75" fillId="3" borderId="8" xfId="0" applyFont="1" applyFill="1" applyBorder="1" applyAlignment="1" applyProtection="1">
      <alignment horizontal="center" vertical="center"/>
      <protection locked="0"/>
    </xf>
    <xf numFmtId="0" fontId="9" fillId="20" borderId="12" xfId="0" applyFont="1" applyFill="1" applyBorder="1" applyAlignment="1">
      <alignment horizontal="center" vertical="center"/>
    </xf>
    <xf numFmtId="0" fontId="9" fillId="20" borderId="16" xfId="0" applyFont="1" applyFill="1" applyBorder="1" applyAlignment="1">
      <alignment horizontal="center" vertical="center"/>
    </xf>
    <xf numFmtId="0" fontId="9" fillId="20" borderId="13" xfId="0" applyFont="1" applyFill="1" applyBorder="1" applyAlignment="1">
      <alignment horizontal="center" vertical="center"/>
    </xf>
    <xf numFmtId="0" fontId="9" fillId="30" borderId="8" xfId="0" applyFont="1" applyFill="1" applyBorder="1" applyAlignment="1">
      <alignment horizontal="center" vertical="center"/>
    </xf>
    <xf numFmtId="0" fontId="9" fillId="46" borderId="12" xfId="0" applyFont="1" applyFill="1" applyBorder="1" applyAlignment="1">
      <alignment horizontal="center" vertical="center" wrapText="1"/>
    </xf>
    <xf numFmtId="0" fontId="9" fillId="46" borderId="16" xfId="0" applyFont="1" applyFill="1" applyBorder="1" applyAlignment="1">
      <alignment horizontal="center" vertical="center" wrapText="1"/>
    </xf>
    <xf numFmtId="0" fontId="9" fillId="46" borderId="13" xfId="0" applyFont="1" applyFill="1" applyBorder="1" applyAlignment="1">
      <alignment horizontal="center" vertical="center" wrapText="1"/>
    </xf>
    <xf numFmtId="0" fontId="9" fillId="31" borderId="8" xfId="0" applyFont="1" applyFill="1" applyBorder="1" applyAlignment="1">
      <alignment horizontal="center" vertical="center"/>
    </xf>
    <xf numFmtId="0" fontId="9" fillId="19" borderId="8" xfId="0" applyFont="1" applyFill="1" applyBorder="1" applyAlignment="1">
      <alignment horizontal="center" vertical="center"/>
    </xf>
    <xf numFmtId="0" fontId="9" fillId="4" borderId="8" xfId="0" applyFont="1" applyFill="1" applyBorder="1" applyAlignment="1">
      <alignment horizontal="center" vertical="center"/>
    </xf>
    <xf numFmtId="0" fontId="9" fillId="32" borderId="8"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8" xfId="0" applyFont="1" applyFill="1" applyBorder="1" applyAlignment="1">
      <alignment horizontal="left" vertical="center" wrapText="1"/>
    </xf>
    <xf numFmtId="0" fontId="5" fillId="3" borderId="8" xfId="0" applyFont="1" applyFill="1" applyBorder="1" applyAlignment="1">
      <alignment horizontal="left" vertical="center" wrapText="1"/>
    </xf>
    <xf numFmtId="0" fontId="9" fillId="44" borderId="8" xfId="0" applyFont="1" applyFill="1" applyBorder="1" applyAlignment="1">
      <alignment horizontal="center" vertical="center" wrapText="1"/>
    </xf>
    <xf numFmtId="0" fontId="9" fillId="33" borderId="8" xfId="0" applyFont="1" applyFill="1" applyBorder="1" applyAlignment="1">
      <alignment horizontal="center" vertical="center"/>
    </xf>
    <xf numFmtId="0" fontId="9" fillId="42" borderId="8" xfId="0" applyFont="1" applyFill="1" applyBorder="1" applyAlignment="1">
      <alignment horizontal="center" vertical="center" wrapText="1"/>
    </xf>
    <xf numFmtId="0" fontId="9" fillId="34" borderId="8" xfId="0" applyFont="1" applyFill="1" applyBorder="1" applyAlignment="1">
      <alignment horizontal="center" vertical="center"/>
    </xf>
    <xf numFmtId="0" fontId="9" fillId="35" borderId="8" xfId="0" applyFont="1" applyFill="1" applyBorder="1" applyAlignment="1">
      <alignment horizontal="center" vertical="center"/>
    </xf>
    <xf numFmtId="0" fontId="9" fillId="4" borderId="8" xfId="0" applyFont="1" applyFill="1" applyBorder="1" applyAlignment="1">
      <alignment horizontal="center" vertical="center" wrapText="1"/>
    </xf>
    <xf numFmtId="0" fontId="9" fillId="36" borderId="8" xfId="0" applyFont="1" applyFill="1" applyBorder="1" applyAlignment="1">
      <alignment horizontal="center" vertical="center"/>
    </xf>
    <xf numFmtId="0" fontId="9" fillId="26" borderId="8" xfId="0" applyFont="1" applyFill="1" applyBorder="1" applyAlignment="1">
      <alignment horizontal="center" vertical="center" wrapText="1"/>
    </xf>
    <xf numFmtId="0" fontId="9" fillId="37" borderId="8"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18" xfId="0" applyFont="1" applyFill="1" applyBorder="1" applyAlignment="1">
      <alignment horizontal="center" vertical="center"/>
    </xf>
    <xf numFmtId="0" fontId="5" fillId="3" borderId="8" xfId="0" applyFont="1" applyFill="1" applyBorder="1" applyAlignment="1" applyProtection="1">
      <alignment horizontal="left" vertical="center"/>
      <protection locked="0"/>
    </xf>
    <xf numFmtId="0" fontId="5" fillId="3" borderId="12" xfId="0" applyFont="1" applyFill="1" applyBorder="1" applyAlignment="1" applyProtection="1">
      <alignment horizontal="left" vertical="center"/>
      <protection locked="0"/>
    </xf>
    <xf numFmtId="0" fontId="5" fillId="3" borderId="13" xfId="0" applyFont="1" applyFill="1" applyBorder="1" applyAlignment="1" applyProtection="1">
      <alignment horizontal="left" vertical="center"/>
      <protection locked="0"/>
    </xf>
    <xf numFmtId="0" fontId="9" fillId="49" borderId="8" xfId="0" applyFont="1" applyFill="1" applyBorder="1" applyAlignment="1">
      <alignment horizontal="center" vertical="center"/>
    </xf>
    <xf numFmtId="0" fontId="9" fillId="38" borderId="8" xfId="0" applyFont="1" applyFill="1" applyBorder="1" applyAlignment="1">
      <alignment horizontal="center" vertical="center"/>
    </xf>
    <xf numFmtId="0" fontId="5" fillId="49" borderId="8" xfId="0" applyFont="1" applyFill="1" applyBorder="1" applyAlignment="1">
      <alignment horizontal="left" vertical="center" wrapText="1"/>
    </xf>
    <xf numFmtId="0" fontId="5" fillId="39" borderId="8" xfId="0" applyFont="1" applyFill="1" applyBorder="1" applyAlignment="1">
      <alignment horizontal="left" vertical="center" wrapText="1"/>
    </xf>
    <xf numFmtId="0" fontId="9" fillId="39" borderId="8" xfId="0" applyFont="1" applyFill="1" applyBorder="1" applyAlignment="1">
      <alignment horizontal="center" vertical="center" wrapText="1"/>
    </xf>
    <xf numFmtId="0" fontId="9" fillId="22" borderId="8" xfId="0" applyFont="1" applyFill="1" applyBorder="1" applyAlignment="1">
      <alignment horizontal="center" vertical="center"/>
    </xf>
    <xf numFmtId="0" fontId="9" fillId="4" borderId="1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5" fillId="46" borderId="8" xfId="0" applyFont="1" applyFill="1" applyBorder="1" applyAlignment="1">
      <alignment horizontal="left" vertical="center" wrapText="1"/>
    </xf>
    <xf numFmtId="0" fontId="5" fillId="44" borderId="8" xfId="0" applyFont="1" applyFill="1" applyBorder="1" applyAlignment="1">
      <alignment horizontal="left" vertical="center" wrapText="1"/>
    </xf>
    <xf numFmtId="0" fontId="5" fillId="42" borderId="8" xfId="0" applyFont="1" applyFill="1" applyBorder="1" applyAlignment="1">
      <alignment horizontal="left" vertical="center" wrapText="1"/>
    </xf>
    <xf numFmtId="0" fontId="5" fillId="26" borderId="8" xfId="0" applyFont="1" applyFill="1" applyBorder="1" applyAlignment="1">
      <alignment horizontal="left" vertical="center" wrapText="1"/>
    </xf>
    <xf numFmtId="0" fontId="5" fillId="75" borderId="8" xfId="0" applyFont="1" applyFill="1" applyBorder="1" applyAlignment="1">
      <alignment horizontal="left" vertical="center" wrapText="1"/>
    </xf>
    <xf numFmtId="0" fontId="22" fillId="21" borderId="8" xfId="0" applyFont="1" applyFill="1" applyBorder="1" applyAlignment="1">
      <alignment horizontal="center" vertical="center" wrapText="1"/>
    </xf>
    <xf numFmtId="0" fontId="22" fillId="20" borderId="8" xfId="0" applyFont="1" applyFill="1" applyBorder="1" applyAlignment="1">
      <alignment horizontal="center" vertical="center"/>
    </xf>
    <xf numFmtId="0" fontId="22" fillId="30" borderId="8" xfId="0" applyFont="1" applyFill="1" applyBorder="1" applyAlignment="1">
      <alignment horizontal="center" vertical="center"/>
    </xf>
    <xf numFmtId="0" fontId="22" fillId="31" borderId="8" xfId="0" applyFont="1" applyFill="1" applyBorder="1" applyAlignment="1">
      <alignment horizontal="center" vertical="center"/>
    </xf>
    <xf numFmtId="0" fontId="22" fillId="19" borderId="8" xfId="0" applyFont="1" applyFill="1" applyBorder="1" applyAlignment="1">
      <alignment horizontal="center" vertical="center"/>
    </xf>
    <xf numFmtId="0" fontId="22" fillId="32" borderId="8" xfId="0" applyFont="1" applyFill="1" applyBorder="1" applyAlignment="1">
      <alignment horizontal="center" vertical="center"/>
    </xf>
    <xf numFmtId="0" fontId="22" fillId="33" borderId="8" xfId="0" applyFont="1" applyFill="1" applyBorder="1" applyAlignment="1">
      <alignment horizontal="center" vertical="center"/>
    </xf>
    <xf numFmtId="0" fontId="9" fillId="4" borderId="38"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75" borderId="8" xfId="0" applyFont="1" applyFill="1" applyBorder="1" applyAlignment="1">
      <alignment horizontal="center" vertical="center"/>
    </xf>
    <xf numFmtId="0" fontId="22" fillId="38" borderId="8" xfId="0" applyFont="1" applyFill="1" applyBorder="1" applyAlignment="1">
      <alignment horizontal="center" vertical="center"/>
    </xf>
    <xf numFmtId="0" fontId="37" fillId="22" borderId="8" xfId="0" applyFont="1" applyFill="1" applyBorder="1" applyAlignment="1">
      <alignment horizontal="center" vertical="center"/>
    </xf>
    <xf numFmtId="0" fontId="9" fillId="4" borderId="59" xfId="0" applyFont="1" applyFill="1" applyBorder="1" applyAlignment="1">
      <alignment horizontal="center" vertical="center" wrapText="1"/>
    </xf>
    <xf numFmtId="0" fontId="9" fillId="4" borderId="68" xfId="0" applyFont="1" applyFill="1" applyBorder="1" applyAlignment="1">
      <alignment horizontal="center" vertical="center" wrapText="1"/>
    </xf>
    <xf numFmtId="0" fontId="9" fillId="4" borderId="64" xfId="0" applyFont="1" applyFill="1" applyBorder="1" applyAlignment="1">
      <alignment horizontal="center" vertical="center" wrapText="1"/>
    </xf>
    <xf numFmtId="0" fontId="9" fillId="4" borderId="60" xfId="0" applyFont="1" applyFill="1" applyBorder="1" applyAlignment="1">
      <alignment horizontal="center" vertical="center" wrapText="1"/>
    </xf>
    <xf numFmtId="0" fontId="9" fillId="4" borderId="61" xfId="0" applyFont="1" applyFill="1" applyBorder="1" applyAlignment="1">
      <alignment horizontal="center" vertical="center" wrapText="1"/>
    </xf>
    <xf numFmtId="0" fontId="9" fillId="4" borderId="62" xfId="0" applyFont="1" applyFill="1" applyBorder="1" applyAlignment="1">
      <alignment horizontal="center" vertical="center" wrapText="1"/>
    </xf>
    <xf numFmtId="0" fontId="22" fillId="36" borderId="8" xfId="0" applyFont="1" applyFill="1" applyBorder="1" applyAlignment="1">
      <alignment horizontal="center" vertical="center"/>
    </xf>
    <xf numFmtId="0" fontId="22" fillId="34" borderId="8" xfId="0" applyFont="1" applyFill="1" applyBorder="1" applyAlignment="1">
      <alignment horizontal="center" vertical="center"/>
    </xf>
    <xf numFmtId="0" fontId="22" fillId="35" borderId="8" xfId="0" applyFont="1" applyFill="1" applyBorder="1" applyAlignment="1">
      <alignment horizontal="center" vertical="center"/>
    </xf>
    <xf numFmtId="0" fontId="22" fillId="74" borderId="22" xfId="0" applyFont="1" applyFill="1" applyBorder="1" applyAlignment="1">
      <alignment horizontal="center" vertical="center"/>
    </xf>
    <xf numFmtId="0" fontId="22" fillId="74" borderId="0" xfId="0" applyFont="1" applyFill="1" applyAlignment="1">
      <alignment horizontal="center" vertical="center"/>
    </xf>
    <xf numFmtId="0" fontId="37" fillId="21" borderId="8" xfId="0" applyFont="1" applyFill="1" applyBorder="1" applyAlignment="1">
      <alignment horizontal="center" vertical="center" wrapText="1"/>
    </xf>
    <xf numFmtId="0" fontId="12" fillId="3" borderId="8" xfId="0" applyFont="1" applyFill="1" applyBorder="1" applyAlignment="1">
      <alignment horizontal="center" vertical="center"/>
    </xf>
    <xf numFmtId="0" fontId="12" fillId="3" borderId="8" xfId="0" applyFont="1" applyFill="1" applyBorder="1" applyAlignment="1">
      <alignment horizontal="center" vertical="center" wrapText="1"/>
    </xf>
    <xf numFmtId="0" fontId="9" fillId="0" borderId="8" xfId="0" applyFont="1" applyBorder="1" applyAlignment="1">
      <alignment horizontal="center"/>
    </xf>
    <xf numFmtId="0" fontId="93" fillId="29" borderId="8" xfId="0" applyFont="1" applyFill="1" applyBorder="1" applyAlignment="1">
      <alignment horizontal="center" vertical="center"/>
    </xf>
    <xf numFmtId="0" fontId="11" fillId="0" borderId="54" xfId="0" applyFont="1" applyBorder="1" applyAlignment="1">
      <alignment horizontal="left" vertical="center"/>
    </xf>
    <xf numFmtId="0" fontId="11" fillId="0" borderId="58" xfId="0" applyFont="1" applyBorder="1" applyAlignment="1">
      <alignment horizontal="left" vertical="center"/>
    </xf>
    <xf numFmtId="43" fontId="52" fillId="0" borderId="51" xfId="24" applyFont="1" applyBorder="1" applyAlignment="1">
      <alignment horizontal="center" vertical="center" wrapText="1"/>
    </xf>
    <xf numFmtId="43" fontId="52" fillId="0" borderId="52" xfId="24" applyFont="1" applyBorder="1" applyAlignment="1">
      <alignment horizontal="center" vertical="center" wrapText="1"/>
    </xf>
    <xf numFmtId="0" fontId="94" fillId="3" borderId="8" xfId="0" applyFont="1" applyFill="1" applyBorder="1" applyAlignment="1">
      <alignment horizontal="center" vertical="center" wrapText="1"/>
    </xf>
    <xf numFmtId="0" fontId="94" fillId="3" borderId="49" xfId="0" applyFont="1" applyFill="1" applyBorder="1" applyAlignment="1">
      <alignment horizontal="center" vertical="center" wrapText="1"/>
    </xf>
    <xf numFmtId="4" fontId="95" fillId="0" borderId="8" xfId="0" applyNumberFormat="1" applyFont="1" applyBorder="1" applyAlignment="1">
      <alignment horizontal="center" vertical="center" wrapText="1"/>
    </xf>
    <xf numFmtId="4" fontId="95" fillId="0" borderId="49" xfId="0" applyNumberFormat="1" applyFont="1" applyBorder="1" applyAlignment="1">
      <alignment horizontal="center" vertical="center" wrapText="1"/>
    </xf>
    <xf numFmtId="43" fontId="52" fillId="0" borderId="8" xfId="24" applyFont="1" applyBorder="1" applyAlignment="1">
      <alignment horizontal="center" vertical="center" wrapText="1"/>
    </xf>
    <xf numFmtId="43" fontId="52" fillId="0" borderId="49" xfId="24" applyFont="1" applyBorder="1" applyAlignment="1">
      <alignment horizontal="center" vertical="center" wrapText="1"/>
    </xf>
    <xf numFmtId="0" fontId="5" fillId="0" borderId="0" xfId="0" applyFont="1" applyAlignment="1">
      <alignment vertical="distributed" wrapText="1"/>
    </xf>
    <xf numFmtId="0" fontId="18" fillId="0" borderId="0" xfId="11" applyFont="1" applyAlignment="1">
      <alignment horizontal="left" vertical="center" wrapText="1"/>
    </xf>
    <xf numFmtId="0" fontId="5" fillId="0" borderId="0" xfId="0" applyFont="1" applyAlignment="1">
      <alignment horizontal="center" vertical="center"/>
    </xf>
    <xf numFmtId="0" fontId="92" fillId="20" borderId="8" xfId="0" applyFont="1" applyFill="1" applyBorder="1" applyAlignment="1">
      <alignment horizontal="center" vertical="center"/>
    </xf>
    <xf numFmtId="0" fontId="38" fillId="4" borderId="12" xfId="0" applyFont="1" applyFill="1" applyBorder="1" applyAlignment="1">
      <alignment horizontal="center" vertical="center"/>
    </xf>
    <xf numFmtId="0" fontId="38" fillId="4" borderId="16" xfId="0" applyFont="1" applyFill="1" applyBorder="1" applyAlignment="1">
      <alignment horizontal="center" vertical="center"/>
    </xf>
    <xf numFmtId="0" fontId="38" fillId="0" borderId="0" xfId="0" applyFont="1" applyAlignment="1">
      <alignment horizontal="center" vertical="center"/>
    </xf>
    <xf numFmtId="0" fontId="54" fillId="28" borderId="12" xfId="0" applyFont="1" applyFill="1" applyBorder="1" applyAlignment="1">
      <alignment horizontal="center" vertical="center" wrapText="1" shrinkToFit="1"/>
    </xf>
    <xf numFmtId="0" fontId="54" fillId="28" borderId="16" xfId="0" applyFont="1" applyFill="1" applyBorder="1" applyAlignment="1">
      <alignment horizontal="center" vertical="center" wrapText="1" shrinkToFit="1"/>
    </xf>
    <xf numFmtId="0" fontId="54" fillId="28" borderId="13" xfId="0" applyFont="1" applyFill="1" applyBorder="1" applyAlignment="1">
      <alignment horizontal="center" vertical="center" wrapText="1" shrinkToFit="1"/>
    </xf>
    <xf numFmtId="0" fontId="9" fillId="84" borderId="60" xfId="0" applyFont="1" applyFill="1" applyBorder="1" applyAlignment="1">
      <alignment horizontal="center"/>
    </xf>
    <xf numFmtId="0" fontId="9" fillId="84" borderId="61" xfId="0" applyFont="1" applyFill="1" applyBorder="1" applyAlignment="1">
      <alignment horizontal="center"/>
    </xf>
    <xf numFmtId="0" fontId="9" fillId="84" borderId="62" xfId="0" applyFont="1" applyFill="1" applyBorder="1" applyAlignment="1">
      <alignment horizontal="center"/>
    </xf>
    <xf numFmtId="0" fontId="31" fillId="84" borderId="60" xfId="0" applyFont="1" applyFill="1" applyBorder="1" applyAlignment="1">
      <alignment horizontal="center" vertical="center" wrapText="1"/>
    </xf>
    <xf numFmtId="0" fontId="31" fillId="84" borderId="61" xfId="0" applyFont="1" applyFill="1" applyBorder="1" applyAlignment="1">
      <alignment horizontal="center" vertical="center" wrapText="1"/>
    </xf>
    <xf numFmtId="0" fontId="31" fillId="84" borderId="62" xfId="0" applyFont="1" applyFill="1" applyBorder="1" applyAlignment="1">
      <alignment horizontal="center" vertical="center" wrapText="1"/>
    </xf>
    <xf numFmtId="0" fontId="24" fillId="0" borderId="0" xfId="11" applyFont="1" applyAlignment="1">
      <alignment horizontal="center" vertical="center" wrapText="1"/>
    </xf>
    <xf numFmtId="0" fontId="38" fillId="4" borderId="13" xfId="0" applyFont="1" applyFill="1" applyBorder="1" applyAlignment="1">
      <alignment horizontal="center" vertical="center"/>
    </xf>
    <xf numFmtId="0" fontId="31" fillId="84" borderId="53" xfId="0" applyFont="1" applyFill="1" applyBorder="1" applyAlignment="1">
      <alignment horizontal="center" vertical="center" wrapText="1"/>
    </xf>
    <xf numFmtId="0" fontId="38" fillId="16" borderId="12" xfId="0" applyFont="1" applyFill="1" applyBorder="1" applyAlignment="1">
      <alignment horizontal="center" vertical="center"/>
    </xf>
    <xf numFmtId="0" fontId="38" fillId="16" borderId="16" xfId="0" applyFont="1" applyFill="1" applyBorder="1" applyAlignment="1">
      <alignment horizontal="center" vertical="center"/>
    </xf>
    <xf numFmtId="0" fontId="46" fillId="26" borderId="8" xfId="0" applyFont="1" applyFill="1" applyBorder="1" applyAlignment="1">
      <alignment horizontal="center" vertical="center" wrapText="1" shrinkToFit="1"/>
    </xf>
    <xf numFmtId="0" fontId="46" fillId="26" borderId="8" xfId="0" applyFont="1" applyFill="1" applyBorder="1" applyAlignment="1">
      <alignment horizontal="center" vertical="center"/>
    </xf>
    <xf numFmtId="0" fontId="50" fillId="27" borderId="35" xfId="0" applyFont="1" applyFill="1" applyBorder="1" applyAlignment="1">
      <alignment horizontal="center"/>
    </xf>
    <xf numFmtId="0" fontId="50" fillId="27" borderId="36" xfId="0" applyFont="1" applyFill="1" applyBorder="1" applyAlignment="1">
      <alignment horizontal="center"/>
    </xf>
    <xf numFmtId="0" fontId="50" fillId="27" borderId="37" xfId="0" applyFont="1" applyFill="1" applyBorder="1" applyAlignment="1">
      <alignment horizontal="center"/>
    </xf>
    <xf numFmtId="0" fontId="38" fillId="4" borderId="8" xfId="0" applyFont="1" applyFill="1" applyBorder="1" applyAlignment="1">
      <alignment horizontal="center" vertical="center"/>
    </xf>
    <xf numFmtId="0" fontId="31" fillId="84" borderId="8" xfId="0" applyFont="1" applyFill="1" applyBorder="1" applyAlignment="1">
      <alignment horizontal="center" vertical="center" wrapText="1"/>
    </xf>
    <xf numFmtId="0" fontId="9" fillId="84" borderId="8" xfId="0" applyFont="1" applyFill="1" applyBorder="1" applyAlignment="1">
      <alignment horizontal="center"/>
    </xf>
    <xf numFmtId="0" fontId="31" fillId="3" borderId="12" xfId="0" applyFont="1" applyFill="1" applyBorder="1" applyAlignment="1">
      <alignment horizontal="center" vertical="center" wrapText="1"/>
    </xf>
    <xf numFmtId="0" fontId="31" fillId="3" borderId="16"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16" borderId="12" xfId="0" applyFont="1" applyFill="1" applyBorder="1" applyAlignment="1">
      <alignment horizontal="center" vertical="center" wrapText="1"/>
    </xf>
    <xf numFmtId="0" fontId="31" fillId="16" borderId="16" xfId="0" applyFont="1" applyFill="1" applyBorder="1" applyAlignment="1">
      <alignment horizontal="center" vertical="center" wrapText="1"/>
    </xf>
    <xf numFmtId="0" fontId="31" fillId="16" borderId="13" xfId="0" applyFont="1" applyFill="1" applyBorder="1" applyAlignment="1">
      <alignment horizontal="center" vertical="center" wrapText="1"/>
    </xf>
    <xf numFmtId="0" fontId="31" fillId="24" borderId="12" xfId="0" applyFont="1" applyFill="1" applyBorder="1" applyAlignment="1">
      <alignment horizontal="center" vertical="center"/>
    </xf>
    <xf numFmtId="0" fontId="31" fillId="24" borderId="16" xfId="0" applyFont="1" applyFill="1" applyBorder="1" applyAlignment="1">
      <alignment horizontal="center" vertical="center"/>
    </xf>
    <xf numFmtId="0" fontId="31" fillId="24" borderId="13" xfId="0" applyFont="1" applyFill="1" applyBorder="1" applyAlignment="1">
      <alignment horizontal="center" vertical="center"/>
    </xf>
    <xf numFmtId="0" fontId="50" fillId="25" borderId="35" xfId="0" applyFont="1" applyFill="1" applyBorder="1" applyAlignment="1">
      <alignment horizontal="center"/>
    </xf>
    <xf numFmtId="0" fontId="50" fillId="25" borderId="36" xfId="0" applyFont="1" applyFill="1" applyBorder="1" applyAlignment="1">
      <alignment horizontal="center"/>
    </xf>
    <xf numFmtId="0" fontId="54" fillId="26" borderId="8" xfId="0" applyFont="1" applyFill="1" applyBorder="1" applyAlignment="1">
      <alignment horizontal="center" vertical="center" wrapText="1" shrinkToFit="1"/>
    </xf>
    <xf numFmtId="0" fontId="54" fillId="26" borderId="8" xfId="0" applyFont="1" applyFill="1" applyBorder="1" applyAlignment="1">
      <alignment horizontal="center" vertical="center"/>
    </xf>
    <xf numFmtId="0" fontId="31" fillId="84" borderId="12" xfId="0" applyFont="1" applyFill="1" applyBorder="1" applyAlignment="1">
      <alignment horizontal="center" vertical="center" wrapText="1"/>
    </xf>
    <xf numFmtId="0" fontId="31" fillId="84" borderId="16" xfId="0" applyFont="1" applyFill="1" applyBorder="1" applyAlignment="1">
      <alignment horizontal="center" vertical="center" wrapText="1"/>
    </xf>
    <xf numFmtId="0" fontId="31" fillId="84" borderId="13" xfId="0" applyFont="1" applyFill="1" applyBorder="1" applyAlignment="1">
      <alignment horizontal="center" vertical="center" wrapText="1"/>
    </xf>
    <xf numFmtId="0" fontId="9" fillId="84" borderId="12" xfId="0" applyFont="1" applyFill="1" applyBorder="1" applyAlignment="1">
      <alignment horizontal="center"/>
    </xf>
    <xf numFmtId="0" fontId="9" fillId="84" borderId="16" xfId="0" applyFont="1" applyFill="1" applyBorder="1" applyAlignment="1">
      <alignment horizontal="center"/>
    </xf>
    <xf numFmtId="0" fontId="9" fillId="84" borderId="13" xfId="0" applyFont="1" applyFill="1" applyBorder="1" applyAlignment="1">
      <alignment horizontal="center"/>
    </xf>
    <xf numFmtId="0" fontId="31" fillId="16" borderId="8" xfId="0" applyFont="1" applyFill="1" applyBorder="1" applyAlignment="1">
      <alignment horizontal="center" vertical="center" wrapText="1"/>
    </xf>
    <xf numFmtId="0" fontId="50" fillId="21" borderId="35" xfId="0" applyFont="1" applyFill="1" applyBorder="1" applyAlignment="1">
      <alignment horizontal="center"/>
    </xf>
    <xf numFmtId="0" fontId="50" fillId="21" borderId="36" xfId="0" applyFont="1" applyFill="1" applyBorder="1" applyAlignment="1">
      <alignment horizontal="center"/>
    </xf>
    <xf numFmtId="0" fontId="50" fillId="21" borderId="12" xfId="0" applyFont="1" applyFill="1" applyBorder="1" applyAlignment="1">
      <alignment horizontal="center"/>
    </xf>
    <xf numFmtId="0" fontId="50" fillId="21" borderId="16" xfId="0" applyFont="1" applyFill="1" applyBorder="1" applyAlignment="1">
      <alignment horizontal="center"/>
    </xf>
    <xf numFmtId="0" fontId="50" fillId="21" borderId="13" xfId="0" applyFont="1" applyFill="1" applyBorder="1" applyAlignment="1">
      <alignment horizontal="center"/>
    </xf>
    <xf numFmtId="0" fontId="31" fillId="24" borderId="8" xfId="0" applyFont="1" applyFill="1" applyBorder="1" applyAlignment="1">
      <alignment horizontal="center" vertical="center"/>
    </xf>
    <xf numFmtId="0" fontId="5" fillId="3" borderId="8" xfId="0" applyFont="1" applyFill="1" applyBorder="1" applyAlignment="1">
      <alignment horizontal="left" vertical="center"/>
    </xf>
    <xf numFmtId="0" fontId="5" fillId="3" borderId="12" xfId="0" applyFont="1" applyFill="1" applyBorder="1" applyAlignment="1">
      <alignment horizontal="left" vertical="center"/>
    </xf>
    <xf numFmtId="0" fontId="5" fillId="3" borderId="16" xfId="0" applyFont="1" applyFill="1" applyBorder="1" applyAlignment="1">
      <alignment horizontal="left" vertical="center"/>
    </xf>
    <xf numFmtId="0" fontId="5" fillId="3" borderId="13" xfId="0" applyFont="1" applyFill="1" applyBorder="1" applyAlignment="1">
      <alignment horizontal="left" vertical="center"/>
    </xf>
    <xf numFmtId="0" fontId="5" fillId="4" borderId="8" xfId="0" applyFont="1" applyFill="1" applyBorder="1" applyAlignment="1">
      <alignment horizontal="left" vertical="center" wrapText="1"/>
    </xf>
    <xf numFmtId="10" fontId="12" fillId="7" borderId="8" xfId="3" applyNumberFormat="1" applyFont="1" applyFill="1" applyBorder="1" applyAlignment="1" applyProtection="1">
      <alignment horizontal="center" vertical="center"/>
    </xf>
    <xf numFmtId="10" fontId="11" fillId="3" borderId="8" xfId="0" applyNumberFormat="1" applyFont="1" applyFill="1" applyBorder="1" applyAlignment="1">
      <alignment horizontal="center" vertical="center" wrapText="1"/>
    </xf>
    <xf numFmtId="0" fontId="9" fillId="11" borderId="8" xfId="0" applyFont="1" applyFill="1" applyBorder="1" applyAlignment="1">
      <alignment horizontal="center" vertical="center" wrapText="1"/>
    </xf>
    <xf numFmtId="10" fontId="12" fillId="18" borderId="8" xfId="3" applyNumberFormat="1" applyFont="1" applyFill="1" applyBorder="1" applyAlignment="1" applyProtection="1">
      <alignment horizontal="center" vertical="center"/>
    </xf>
    <xf numFmtId="10" fontId="11" fillId="4" borderId="8" xfId="8" applyNumberFormat="1" applyFont="1" applyFill="1" applyBorder="1" applyAlignment="1" applyProtection="1">
      <alignment horizontal="center" vertical="center" wrapText="1"/>
    </xf>
    <xf numFmtId="0" fontId="0" fillId="0" borderId="8" xfId="0" applyBorder="1" applyAlignment="1">
      <alignment horizontal="center"/>
    </xf>
    <xf numFmtId="3" fontId="32" fillId="17" borderId="29" xfId="25" applyNumberFormat="1" applyFont="1" applyFill="1" applyBorder="1" applyAlignment="1">
      <alignment horizontal="center" vertical="center" wrapText="1"/>
    </xf>
    <xf numFmtId="3" fontId="32" fillId="17" borderId="30" xfId="25" applyNumberFormat="1" applyFont="1" applyFill="1" applyBorder="1" applyAlignment="1">
      <alignment horizontal="center" vertical="center" wrapText="1"/>
    </xf>
    <xf numFmtId="3" fontId="32" fillId="17" borderId="32" xfId="25" applyNumberFormat="1" applyFont="1" applyFill="1" applyBorder="1" applyAlignment="1">
      <alignment horizontal="center" vertical="center" wrapText="1"/>
    </xf>
    <xf numFmtId="0" fontId="32" fillId="15" borderId="28" xfId="25" applyFont="1" applyFill="1" applyBorder="1" applyAlignment="1">
      <alignment horizontal="center" vertical="center"/>
    </xf>
    <xf numFmtId="0" fontId="32" fillId="15" borderId="31" xfId="25" applyFont="1" applyFill="1" applyBorder="1" applyAlignment="1">
      <alignment horizontal="center" vertical="center"/>
    </xf>
    <xf numFmtId="0" fontId="32" fillId="15" borderId="27" xfId="25" applyFont="1" applyFill="1" applyBorder="1" applyAlignment="1">
      <alignment horizontal="center" vertical="center"/>
    </xf>
    <xf numFmtId="0" fontId="9" fillId="2" borderId="8" xfId="0" applyFont="1" applyFill="1" applyBorder="1" applyAlignment="1">
      <alignment horizontal="center" vertical="center"/>
    </xf>
    <xf numFmtId="0" fontId="9" fillId="6" borderId="8" xfId="0" applyFont="1" applyFill="1" applyBorder="1" applyAlignment="1">
      <alignment horizontal="center" vertical="center"/>
    </xf>
    <xf numFmtId="0" fontId="12" fillId="4" borderId="8" xfId="0" applyFont="1" applyFill="1" applyBorder="1" applyAlignment="1">
      <alignment horizontal="center" vertical="center" wrapText="1"/>
    </xf>
    <xf numFmtId="0" fontId="98" fillId="3" borderId="8" xfId="0" applyFont="1" applyFill="1" applyBorder="1" applyAlignment="1">
      <alignment horizontal="center" vertical="center"/>
    </xf>
    <xf numFmtId="0" fontId="32" fillId="17" borderId="11" xfId="25" applyFont="1" applyFill="1" applyBorder="1" applyAlignment="1">
      <alignment horizontal="center" vertical="center" wrapText="1"/>
    </xf>
    <xf numFmtId="0" fontId="32" fillId="17" borderId="53" xfId="25" applyFont="1" applyFill="1" applyBorder="1" applyAlignment="1">
      <alignment horizontal="center" vertical="center" wrapText="1"/>
    </xf>
    <xf numFmtId="0" fontId="12" fillId="17" borderId="11" xfId="25" applyFont="1" applyFill="1" applyBorder="1" applyAlignment="1">
      <alignment horizontal="center" vertical="center" wrapText="1"/>
    </xf>
    <xf numFmtId="0" fontId="12" fillId="17" borderId="53" xfId="25" applyFont="1" applyFill="1" applyBorder="1" applyAlignment="1">
      <alignment horizontal="center" vertical="center" wrapText="1"/>
    </xf>
    <xf numFmtId="1" fontId="12" fillId="17" borderId="11" xfId="25" applyNumberFormat="1" applyFont="1" applyFill="1" applyBorder="1" applyAlignment="1">
      <alignment horizontal="center" vertical="center" wrapText="1"/>
    </xf>
    <xf numFmtId="1" fontId="12" fillId="17" borderId="53" xfId="25" applyNumberFormat="1" applyFont="1" applyFill="1" applyBorder="1" applyAlignment="1">
      <alignment horizontal="center" vertical="center" wrapText="1"/>
    </xf>
    <xf numFmtId="176" fontId="12" fillId="17" borderId="8" xfId="25" applyNumberFormat="1" applyFont="1" applyFill="1" applyBorder="1" applyAlignment="1">
      <alignment horizontal="center" vertical="center" wrapText="1"/>
    </xf>
    <xf numFmtId="3" fontId="32" fillId="17" borderId="8" xfId="25" applyNumberFormat="1" applyFont="1" applyFill="1" applyBorder="1" applyAlignment="1">
      <alignment horizontal="center" vertical="center" wrapText="1"/>
    </xf>
    <xf numFmtId="10" fontId="9" fillId="7" borderId="8" xfId="3" applyNumberFormat="1" applyFont="1" applyFill="1" applyBorder="1" applyAlignment="1" applyProtection="1">
      <alignment horizontal="center" vertical="center"/>
    </xf>
    <xf numFmtId="10" fontId="9" fillId="18" borderId="8" xfId="3" applyNumberFormat="1" applyFont="1" applyFill="1" applyBorder="1" applyAlignment="1" applyProtection="1">
      <alignment horizontal="center" vertical="center"/>
    </xf>
    <xf numFmtId="10" fontId="5" fillId="3" borderId="8" xfId="0" applyNumberFormat="1" applyFont="1" applyFill="1" applyBorder="1" applyAlignment="1">
      <alignment horizontal="center" vertical="center" wrapText="1"/>
    </xf>
    <xf numFmtId="10" fontId="5" fillId="4" borderId="8" xfId="8" applyNumberFormat="1" applyFont="1" applyFill="1" applyBorder="1" applyAlignment="1" applyProtection="1">
      <alignment horizontal="center" vertical="center" wrapText="1"/>
    </xf>
    <xf numFmtId="3" fontId="36" fillId="17" borderId="29" xfId="25" applyNumberFormat="1" applyFont="1" applyFill="1" applyBorder="1" applyAlignment="1">
      <alignment horizontal="center" vertical="center" wrapText="1"/>
    </xf>
    <xf numFmtId="3" fontId="36" fillId="17" borderId="30" xfId="25" applyNumberFormat="1" applyFont="1" applyFill="1" applyBorder="1" applyAlignment="1">
      <alignment horizontal="center" vertical="center" wrapText="1"/>
    </xf>
    <xf numFmtId="3" fontId="36" fillId="17" borderId="32" xfId="25" applyNumberFormat="1" applyFont="1" applyFill="1" applyBorder="1" applyAlignment="1">
      <alignment horizontal="center" vertical="center" wrapText="1"/>
    </xf>
    <xf numFmtId="0" fontId="36" fillId="15" borderId="28" xfId="25" applyFont="1" applyFill="1" applyBorder="1" applyAlignment="1">
      <alignment horizontal="center" vertical="center"/>
    </xf>
    <xf numFmtId="0" fontId="36" fillId="15" borderId="31" xfId="25" applyFont="1" applyFill="1" applyBorder="1" applyAlignment="1">
      <alignment horizontal="center" vertical="center"/>
    </xf>
    <xf numFmtId="0" fontId="36" fillId="15" borderId="27" xfId="25" applyFont="1" applyFill="1" applyBorder="1" applyAlignment="1">
      <alignment horizontal="center" vertical="center"/>
    </xf>
    <xf numFmtId="0" fontId="37" fillId="3" borderId="8" xfId="0" applyFont="1" applyFill="1" applyBorder="1" applyAlignment="1">
      <alignment horizontal="center" vertical="center"/>
    </xf>
    <xf numFmtId="0" fontId="32" fillId="17" borderId="8" xfId="25" applyFont="1" applyFill="1" applyBorder="1" applyAlignment="1">
      <alignment horizontal="center" vertical="center" wrapText="1"/>
    </xf>
    <xf numFmtId="1" fontId="29" fillId="17" borderId="8" xfId="25" applyNumberFormat="1" applyFont="1" applyFill="1" applyBorder="1" applyAlignment="1">
      <alignment horizontal="center" vertical="center" wrapText="1"/>
    </xf>
    <xf numFmtId="176" fontId="32" fillId="17" borderId="8" xfId="25" applyNumberFormat="1" applyFont="1" applyFill="1" applyBorder="1" applyAlignment="1">
      <alignment horizontal="center" vertical="center" wrapText="1"/>
    </xf>
    <xf numFmtId="1" fontId="12" fillId="17" borderId="8" xfId="25"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11" fillId="0" borderId="0" xfId="11" applyFont="1" applyAlignment="1">
      <alignment horizontal="center" vertical="center" wrapText="1"/>
    </xf>
    <xf numFmtId="0" fontId="12" fillId="0" borderId="0" xfId="11" applyFont="1" applyAlignment="1">
      <alignment horizontal="center" vertical="center" wrapText="1"/>
    </xf>
    <xf numFmtId="0" fontId="37" fillId="10" borderId="8" xfId="0" applyFont="1" applyFill="1" applyBorder="1" applyAlignment="1">
      <alignment horizontal="center" vertical="center"/>
    </xf>
    <xf numFmtId="0" fontId="22" fillId="84" borderId="8" xfId="0" applyFont="1" applyFill="1" applyBorder="1" applyAlignment="1">
      <alignment horizontal="center" vertical="center" wrapText="1"/>
    </xf>
    <xf numFmtId="165" fontId="13" fillId="24" borderId="8" xfId="3" applyFont="1" applyFill="1" applyBorder="1" applyAlignment="1" applyProtection="1">
      <alignment vertical="center"/>
    </xf>
    <xf numFmtId="43" fontId="53" fillId="0" borderId="8" xfId="24" applyFont="1" applyBorder="1" applyAlignment="1">
      <alignment horizontal="center" vertical="center"/>
    </xf>
    <xf numFmtId="0" fontId="37" fillId="84" borderId="8" xfId="0" applyFont="1" applyFill="1" applyBorder="1" applyAlignment="1">
      <alignment horizontal="center" vertical="center" wrapText="1"/>
    </xf>
    <xf numFmtId="165" fontId="76" fillId="24" borderId="8" xfId="3" applyFont="1" applyFill="1" applyBorder="1" applyAlignment="1" applyProtection="1">
      <alignment vertical="center"/>
    </xf>
    <xf numFmtId="0" fontId="53" fillId="0" borderId="8" xfId="0" applyFont="1" applyBorder="1" applyAlignment="1">
      <alignment horizontal="center" vertical="center" wrapText="1"/>
    </xf>
    <xf numFmtId="0" fontId="53" fillId="0" borderId="8" xfId="0" applyFont="1" applyBorder="1" applyAlignment="1">
      <alignment horizontal="center" vertical="center"/>
    </xf>
    <xf numFmtId="43" fontId="53" fillId="0" borderId="8" xfId="24" applyFont="1" applyFill="1" applyBorder="1" applyAlignment="1">
      <alignment horizontal="center" vertical="center"/>
    </xf>
    <xf numFmtId="44" fontId="108" fillId="0" borderId="8" xfId="0" applyNumberFormat="1" applyFont="1" applyBorder="1" applyAlignment="1">
      <alignment vertical="center" wrapText="1"/>
    </xf>
    <xf numFmtId="168" fontId="11" fillId="3" borderId="8" xfId="0" quotePrefix="1" applyNumberFormat="1" applyFont="1" applyFill="1" applyBorder="1" applyAlignment="1" applyProtection="1">
      <alignment horizontal="right" vertical="center" wrapText="1"/>
      <protection locked="0"/>
    </xf>
    <xf numFmtId="43" fontId="9" fillId="0" borderId="8" xfId="0" applyNumberFormat="1" applyFont="1" applyBorder="1"/>
    <xf numFmtId="0" fontId="16" fillId="0" borderId="23" xfId="11" applyFont="1" applyBorder="1" applyAlignment="1">
      <alignment horizontal="center" vertical="center" wrapText="1"/>
    </xf>
    <xf numFmtId="0" fontId="16" fillId="0" borderId="62" xfId="11" applyFont="1" applyBorder="1" applyAlignment="1">
      <alignment horizontal="center" vertical="center" wrapText="1"/>
    </xf>
  </cellXfs>
  <cellStyles count="146">
    <cellStyle name="20% - Ênfase1 2" xfId="26" xr:uid="{67348A9E-046C-4A19-9C00-50589C7140A8}"/>
    <cellStyle name="20% - Ênfase2 2" xfId="27" xr:uid="{20B564B5-6379-48E4-AB79-AD86FA81D071}"/>
    <cellStyle name="20% - Ênfase3 2" xfId="28" xr:uid="{94F4D65E-4CA1-4A38-9EA4-8F7796D1D776}"/>
    <cellStyle name="20% - Ênfase4 2" xfId="29" xr:uid="{F8E07A01-0973-4EB7-9716-6931CFD902CA}"/>
    <cellStyle name="20% - Ênfase5 2" xfId="30" xr:uid="{60D54357-010D-4739-BA5C-D18ABD77A72C}"/>
    <cellStyle name="20% - Ênfase6 2" xfId="31" xr:uid="{68631DFC-E1D2-471E-81A7-FBBC9BE74491}"/>
    <cellStyle name="40% - Ênfase1 2" xfId="32" xr:uid="{B8845407-7F09-4087-8D4F-7BC58BA6673E}"/>
    <cellStyle name="40% - Ênfase2 2" xfId="33" xr:uid="{4DB2E09A-6601-4651-B127-077EB2FB5D94}"/>
    <cellStyle name="40% - Ênfase3 2" xfId="34" xr:uid="{872AC408-9CAF-4386-848B-6301E0AF96B8}"/>
    <cellStyle name="40% - Ênfase4 2" xfId="35" xr:uid="{D00BCF05-A6E9-4CAE-B48B-7399DA8D5E13}"/>
    <cellStyle name="40% - Ênfase5 2" xfId="36" xr:uid="{9605DB11-8FF5-4580-B7E3-4260B3BB79EF}"/>
    <cellStyle name="40% - Ênfase6 2" xfId="37" xr:uid="{86A79456-6DFF-44C9-B957-5CE31B05E38F}"/>
    <cellStyle name="60% - Ênfase1 2" xfId="38" xr:uid="{188B605A-22FC-4472-BC61-D5C6A8E94C10}"/>
    <cellStyle name="60% - Ênfase2 2" xfId="39" xr:uid="{2C07030B-90A9-4D7C-810A-C4921883E2E7}"/>
    <cellStyle name="60% - Ênfase3 2" xfId="40" xr:uid="{2970BBB4-C399-436E-92BA-6C13A969306E}"/>
    <cellStyle name="60% - Ênfase4 2" xfId="41" xr:uid="{065080D7-E2E0-4A49-A814-997CDE68EF6C}"/>
    <cellStyle name="60% - Ênfase5 2" xfId="42" xr:uid="{70965F7A-F282-4BEF-B24D-C5ABE0F10FF9}"/>
    <cellStyle name="60% - Ênfase6 2" xfId="43" xr:uid="{A0D1A5ED-6868-43B6-B40A-4C1721922F1A}"/>
    <cellStyle name="Accent" xfId="82" xr:uid="{E6849486-B24D-4B76-A144-167C4FA7CDDB}"/>
    <cellStyle name="Accent 1" xfId="83" xr:uid="{F5B730B6-2422-4697-A05A-8A39622BA477}"/>
    <cellStyle name="Accent 2" xfId="84" xr:uid="{0A7AE253-0BF3-437A-BB5C-63ABBA4D58CA}"/>
    <cellStyle name="Accent 3" xfId="85" xr:uid="{DA23B8F0-03D7-4D78-9E2A-6A6999CB2E42}"/>
    <cellStyle name="Bad" xfId="86" xr:uid="{328C1E18-83B3-4143-84D1-696EE5E7AE9F}"/>
    <cellStyle name="Bom 2" xfId="44" xr:uid="{13621BA0-B327-4514-9722-6568B15FCBFA}"/>
    <cellStyle name="Cálculo 2" xfId="45" xr:uid="{6F578869-20B6-41DD-807D-A9D333BE92A1}"/>
    <cellStyle name="Cálculo 2 2" xfId="119" xr:uid="{867A2180-F007-4964-A8F5-287291123976}"/>
    <cellStyle name="Cálculo 2 3" xfId="137" xr:uid="{DB7B9357-830D-4D23-8F03-1E09A8C43568}"/>
    <cellStyle name="Cálculo 2 4" xfId="113" xr:uid="{82E5B088-C074-4864-BB5B-82CD22E23EF1}"/>
    <cellStyle name="Cálculo 2 5" xfId="136" xr:uid="{6AE7774E-D35F-439C-B5FE-908C750F8E94}"/>
    <cellStyle name="Cancel" xfId="46" xr:uid="{2E32F41C-8AC9-427E-BB24-11539A238C37}"/>
    <cellStyle name="Célula de Verificação 2" xfId="47" xr:uid="{06ED6AB5-CFA2-4825-962F-9BD3D4261F8F}"/>
    <cellStyle name="Célula Vinculada 2" xfId="48" xr:uid="{38ED4535-CA1A-4CEB-80BE-18F8AF274887}"/>
    <cellStyle name="Ênfase1 2" xfId="49" xr:uid="{E2965022-21A9-428C-A4F0-326A852CED25}"/>
    <cellStyle name="Ênfase2 2" xfId="50" xr:uid="{51935569-E3A1-4C45-BEE8-3146582C7E04}"/>
    <cellStyle name="Ênfase3 2" xfId="51" xr:uid="{957CF0DE-2CE9-4994-8F74-B8662DA5D473}"/>
    <cellStyle name="Ênfase4 2" xfId="52" xr:uid="{F6C224AF-70BA-48CA-9597-A96F8BA8C7BE}"/>
    <cellStyle name="Ênfase5 2" xfId="53" xr:uid="{DAE73190-EBBE-4AE2-8CD7-F8B04C3A198C}"/>
    <cellStyle name="Ênfase6 2" xfId="54" xr:uid="{E49E43C9-0462-4997-AA43-62C977A3F504}"/>
    <cellStyle name="Entrada 2" xfId="55" xr:uid="{37385CFA-37BA-4938-9491-AC5C1B501450}"/>
    <cellStyle name="Entrada 2 2" xfId="123" xr:uid="{EC908620-F57B-4D9B-9100-71A675A39ED8}"/>
    <cellStyle name="Entrada 2 3" xfId="122" xr:uid="{6FCEACCC-600B-4C7B-8E1F-BA23A963826D}"/>
    <cellStyle name="Entrada 2 4" xfId="126" xr:uid="{B527FA5F-1A09-47D5-81E7-BF8A650AE2C0}"/>
    <cellStyle name="Entrada 2 5" xfId="139" xr:uid="{417DFE06-DF4B-4A71-BEFC-F34970913633}"/>
    <cellStyle name="Error" xfId="87" xr:uid="{B7A0205A-4E28-461D-9DC2-4D69EC61C234}"/>
    <cellStyle name="Excel Built-in Comma" xfId="88" xr:uid="{36D95ED2-169A-460F-A992-74CB6415A5A9}"/>
    <cellStyle name="Excel Built-in Currency" xfId="89" xr:uid="{F8F8CA77-B4C6-4865-B2E7-BE910883E3A7}"/>
    <cellStyle name="Excel Built-in Explanatory Text" xfId="1" xr:uid="{00000000-0005-0000-0000-000000000000}"/>
    <cellStyle name="Excel Built-in Explanatory Text 2" xfId="90" xr:uid="{83ECCC61-EDC4-4BD4-A98C-0DA7E98693C8}"/>
    <cellStyle name="Excel Built-in Normal" xfId="91" xr:uid="{DB1671EB-D153-4D01-8219-C46D8E7FFA2B}"/>
    <cellStyle name="Excel_BuiltIn_Comma 1" xfId="2" xr:uid="{00000000-0005-0000-0000-000001000000}"/>
    <cellStyle name="Footnote" xfId="92" xr:uid="{8DC32134-06B9-4383-9DF5-F415F3A0188D}"/>
    <cellStyle name="Good" xfId="93" xr:uid="{1E28E3D1-F36F-41FE-BB1E-8332D69ABC81}"/>
    <cellStyle name="Heading" xfId="94" xr:uid="{A85E53EE-722F-4A6B-9F47-3E71AA4B9251}"/>
    <cellStyle name="Heading (user)" xfId="95" xr:uid="{4E1BA00C-DE09-4545-8532-560B38C6B91E}"/>
    <cellStyle name="Heading 1" xfId="96" xr:uid="{4B6EEB63-FAFC-454F-9FB3-7668766C1C8E}"/>
    <cellStyle name="Heading 2" xfId="97" xr:uid="{814A3C3D-204D-44BC-B8F7-2565DC1CCAFE}"/>
    <cellStyle name="Hyperlink" xfId="98" xr:uid="{432200B9-0DFD-46FA-854D-213430F52D88}"/>
    <cellStyle name="Moeda" xfId="3" builtinId="4"/>
    <cellStyle name="Moeda 2" xfId="4" xr:uid="{00000000-0005-0000-0000-000004000000}"/>
    <cellStyle name="Moeda 2 2" xfId="5" xr:uid="{00000000-0005-0000-0000-000005000000}"/>
    <cellStyle name="Moeda 3" xfId="75" xr:uid="{2183C0FE-E93F-457F-9F93-AA53D59C731B}"/>
    <cellStyle name="Moeda 3 2" xfId="129" xr:uid="{69BDDA8C-9B5D-43B2-95B0-7995C9BB92E8}"/>
    <cellStyle name="Moeda 9" xfId="76" xr:uid="{716C4A86-D714-4C75-B9B5-1F13982F2298}"/>
    <cellStyle name="Moeda 9 2" xfId="130" xr:uid="{CBC63988-6F89-427D-9F58-720E7F0FFA39}"/>
    <cellStyle name="Neutral" xfId="99" xr:uid="{54647D30-4820-485C-8932-9F521E8773EF}"/>
    <cellStyle name="Neutro 2" xfId="57" xr:uid="{04F3EE32-8C9F-4ED0-85A1-EDA44FDE880C}"/>
    <cellStyle name="Normal" xfId="0" builtinId="0"/>
    <cellStyle name="Normal 2" xfId="6" xr:uid="{00000000-0005-0000-0000-000007000000}"/>
    <cellStyle name="Normal 2 2" xfId="100" xr:uid="{47E698AB-47CF-4EFD-A054-FEEBFB410C0A}"/>
    <cellStyle name="Normal 2 2 2" xfId="11" xr:uid="{00000000-0005-0000-0000-000008000000}"/>
    <cellStyle name="Normal 2 3" xfId="17" xr:uid="{00000000-0005-0000-0000-000009000000}"/>
    <cellStyle name="Normal 3" xfId="74" xr:uid="{69EEE88D-E8CD-4FCE-B5F8-7CC70CA580BD}"/>
    <cellStyle name="Normal 3 2" xfId="128" xr:uid="{6DB06CCE-2625-4D7A-91AE-C09CE2E88077}"/>
    <cellStyle name="Normal 4" xfId="80" xr:uid="{4F772662-0C60-4715-8804-D2F0746F399D}"/>
    <cellStyle name="Normal 4 2" xfId="109" xr:uid="{9D7F9B64-DAB2-4A5F-949D-C9F4480BBF30}"/>
    <cellStyle name="Normal 4 2 2" xfId="143" xr:uid="{26FFFCF7-50A8-4C4D-956E-5C3F43DA9412}"/>
    <cellStyle name="Normal 4 3" xfId="134" xr:uid="{71104AA3-1BBD-4A34-AEA9-331319395AF9}"/>
    <cellStyle name="Normal 5" xfId="25" xr:uid="{00000000-0005-0000-0000-00000A000000}"/>
    <cellStyle name="Normal 6" xfId="7" xr:uid="{00000000-0005-0000-0000-00000B000000}"/>
    <cellStyle name="Normal 6 2" xfId="14" xr:uid="{00000000-0005-0000-0000-00000C000000}"/>
    <cellStyle name="Normal 6 3" xfId="77" xr:uid="{573A0B1E-1AAE-4BEA-ACDA-E2BA711C853D}"/>
    <cellStyle name="Normal 6 3 2" xfId="131" xr:uid="{871913D6-D968-4DBD-847A-16C1D21FA395}"/>
    <cellStyle name="Normal 7" xfId="81" xr:uid="{4C31EAB6-9232-45B1-B252-E99500A390C8}"/>
    <cellStyle name="Normal 8" xfId="106" xr:uid="{B5DEFE9B-2ED9-4BF6-8BA1-613C2271A94F}"/>
    <cellStyle name="Normal 8 2" xfId="140" xr:uid="{11D1DDE4-92EF-4A98-A964-1E4C0166183C}"/>
    <cellStyle name="Normal 9" xfId="13" xr:uid="{00000000-0005-0000-0000-00000D000000}"/>
    <cellStyle name="Nota 2" xfId="58" xr:uid="{0121FFC9-7121-4D9A-9F64-1C8B9817FAD2}"/>
    <cellStyle name="Nota 2 2" xfId="124" xr:uid="{E8816AE8-4511-43FD-A3D4-4AC05D753F7F}"/>
    <cellStyle name="Nota 2 3" xfId="121" xr:uid="{05D5E856-17A5-415E-9649-065470CFDCEC}"/>
    <cellStyle name="Nota 2 4" xfId="145" xr:uid="{423375DA-6B3F-47FC-A2B2-0D10E194F61B}"/>
    <cellStyle name="Nota 2 5" xfId="138" xr:uid="{464A8959-313A-4D44-9BEC-42CD625E0CA0}"/>
    <cellStyle name="Note" xfId="101" xr:uid="{E2907D07-9FD2-4CA0-815A-5BF5717D5C15}"/>
    <cellStyle name="Porcentagem" xfId="8" builtinId="5"/>
    <cellStyle name="Porcentagem 2" xfId="9" xr:uid="{00000000-0005-0000-0000-00000F000000}"/>
    <cellStyle name="Porcentagem 3" xfId="10" xr:uid="{00000000-0005-0000-0000-000010000000}"/>
    <cellStyle name="Porcentagem 4" xfId="59" xr:uid="{6677C084-B01A-4769-B414-0BC3DB5ACA61}"/>
    <cellStyle name="Porcentagem 4 2" xfId="18" xr:uid="{00000000-0005-0000-0000-000011000000}"/>
    <cellStyle name="Porcentagem 5" xfId="79" xr:uid="{B85CD2BA-9B0D-45A4-91CC-C3C75FA2AFF5}"/>
    <cellStyle name="Porcentagem 5 2" xfId="133" xr:uid="{3B223F79-372D-43E2-AEA1-41CA2A147367}"/>
    <cellStyle name="Porcentagem 6" xfId="108" xr:uid="{AA14120F-9801-4AFD-9027-CEAD335DE218}"/>
    <cellStyle name="Porcentagem 6 2" xfId="142" xr:uid="{14DC1743-4073-4C1B-AB64-888686F2283A}"/>
    <cellStyle name="Result" xfId="102" xr:uid="{496441FF-B68C-4F48-A693-47FD552F3A6B}"/>
    <cellStyle name="Ruim 2" xfId="56" xr:uid="{8EBEE547-E142-4BC4-A906-F99F2DA20498}"/>
    <cellStyle name="Saída 2" xfId="60" xr:uid="{90E83945-148E-4FCB-83E2-6602C5DFCF4F}"/>
    <cellStyle name="Saída 2 2" xfId="125" xr:uid="{6D8C10E3-8266-47A2-8861-A2D0DB3ADC7C}"/>
    <cellStyle name="Saída 2 3" xfId="120" xr:uid="{A8ACFC94-B828-405A-963A-E827EB824ECF}"/>
    <cellStyle name="Saída 2 4" xfId="144" xr:uid="{99714184-DD31-4CAE-8439-E619ABD52ACF}"/>
    <cellStyle name="Saída 2 5" xfId="110" xr:uid="{FD8C7AD5-E888-481E-9368-BF65FC227D17}"/>
    <cellStyle name="Separador de milhares 3 2 5 2" xfId="23" xr:uid="{00000000-0005-0000-0000-000012000000}"/>
    <cellStyle name="Separador de milhares 6" xfId="16" xr:uid="{00000000-0005-0000-0000-000013000000}"/>
    <cellStyle name="Separador de milhares 6 2" xfId="112" xr:uid="{B7FC82F4-E883-44D2-9982-9A7FBF5DACBD}"/>
    <cellStyle name="Separador de milhares 7 4 2 2" xfId="20" xr:uid="{00000000-0005-0000-0000-000014000000}"/>
    <cellStyle name="Separador de milhares 7 7" xfId="21" xr:uid="{00000000-0005-0000-0000-000015000000}"/>
    <cellStyle name="Separador de milhares 7 7 2" xfId="115" xr:uid="{FF330648-1A1B-4793-B316-CB2D58F43CA1}"/>
    <cellStyle name="Status" xfId="103" xr:uid="{49F33A82-0646-4BFD-B811-C74FFA159DB2}"/>
    <cellStyle name="Text" xfId="104" xr:uid="{20F29583-A2A6-49E4-9004-40ACB1CEBD50}"/>
    <cellStyle name="Texto de Aviso 2" xfId="62" xr:uid="{4CEFEC2D-217C-4E82-95BD-303B3EF73E9E}"/>
    <cellStyle name="Texto Explicativo 2" xfId="63" xr:uid="{4F7F106A-1A16-4816-A722-3295287051F0}"/>
    <cellStyle name="Título 1 1" xfId="65" xr:uid="{7DF31755-E6E6-49AE-A238-B7FFD788B16B}"/>
    <cellStyle name="Título 1 1 1" xfId="66" xr:uid="{0938B3C5-68AE-4394-AC72-EBA438528C7E}"/>
    <cellStyle name="Título 1 1 1 1" xfId="67" xr:uid="{5B2BB362-2918-4BB7-892F-9DC646F9B2D2}"/>
    <cellStyle name="Título 1 1 1 1 1" xfId="68" xr:uid="{6A9591A0-37AE-420F-9272-32C023933D75}"/>
    <cellStyle name="Título 1 1 1 1 1 1" xfId="69" xr:uid="{AD964480-5C12-4701-B8BB-F65D21A49A60}"/>
    <cellStyle name="Título 1 2" xfId="64" xr:uid="{FFF3CB67-7DFE-4257-9B84-EB4E8DDB63DF}"/>
    <cellStyle name="Título 2 2" xfId="70" xr:uid="{5BDA9392-8A05-496B-A31D-6269F4582342}"/>
    <cellStyle name="Título 3 2" xfId="71" xr:uid="{4E97CB97-DAA0-4B20-865E-467F14FAFF09}"/>
    <cellStyle name="Título 4 2" xfId="72" xr:uid="{079B4908-7841-468D-810D-54C34FD29A13}"/>
    <cellStyle name="Total 2" xfId="73" xr:uid="{59914289-A054-4F75-BD6C-9B3F73661867}"/>
    <cellStyle name="Total 2 2" xfId="127" xr:uid="{AFDD95F2-65FA-4763-82B8-55C3ACD18FF8}"/>
    <cellStyle name="Total 2 3" xfId="118" xr:uid="{1303C278-1399-4E69-8295-51CE4C24F690}"/>
    <cellStyle name="Total 2 4" xfId="135" xr:uid="{A490DA4D-E3D7-4752-BAF9-A86B82254A43}"/>
    <cellStyle name="Total 2 5" xfId="117" xr:uid="{4D96BF98-A028-46B4-9C83-25AA6A0002F3}"/>
    <cellStyle name="Vírgula" xfId="24" builtinId="3"/>
    <cellStyle name="Vírgula 2" xfId="12" xr:uid="{00000000-0005-0000-0000-000017000000}"/>
    <cellStyle name="Vírgula 2 2" xfId="22" xr:uid="{00000000-0005-0000-0000-000018000000}"/>
    <cellStyle name="Vírgula 2 2 2" xfId="116" xr:uid="{EAA7E8B8-434B-4136-9E53-AEEF37B150E5}"/>
    <cellStyle name="Vírgula 2 4" xfId="19" xr:uid="{00000000-0005-0000-0000-000019000000}"/>
    <cellStyle name="Vírgula 2 4 2" xfId="114" xr:uid="{98BEF094-D9D8-4D4C-9409-074420ADFAD1}"/>
    <cellStyle name="Vírgula 3" xfId="61" xr:uid="{6F42A02D-E8CE-4875-9B1E-AA414D36C587}"/>
    <cellStyle name="Vírgula 4" xfId="78" xr:uid="{14DDD238-65B0-4358-97CF-845899AFC26E}"/>
    <cellStyle name="Vírgula 4 2" xfId="132" xr:uid="{ED355955-03E5-4B9C-A54D-261B90B741CD}"/>
    <cellStyle name="Vírgula 5" xfId="15" xr:uid="{00000000-0005-0000-0000-00001A000000}"/>
    <cellStyle name="Vírgula 5 2" xfId="111" xr:uid="{F46626C8-5BA7-40B4-AC9D-3D18E8AB22A3}"/>
    <cellStyle name="Vírgula 6" xfId="107" xr:uid="{29661B4F-0276-44EC-BD8D-EEA68C24E9DA}"/>
    <cellStyle name="Vírgula 6 2" xfId="141" xr:uid="{3E3954A6-6F1E-4B20-BF30-9C0BAB8C6D36}"/>
    <cellStyle name="Warning" xfId="105" xr:uid="{BAA17470-E2E8-4F70-B9BE-92490D5C732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C0504D"/>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B0F0"/>
      <rgbColor rgb="00CCFFFF"/>
      <rgbColor rgb="00CCFFCC"/>
      <rgbColor rgb="00FFFF99"/>
      <rgbColor rgb="0099CCFF"/>
      <rgbColor rgb="00FF99CC"/>
      <rgbColor rgb="00CC99FF"/>
      <rgbColor rgb="00FCD5B5"/>
      <rgbColor rgb="003366FF"/>
      <rgbColor rgb="0033CCCC"/>
      <rgbColor rgb="0092D050"/>
      <rgbColor rgb="00FFCC00"/>
      <rgbColor rgb="00FF9900"/>
      <rgbColor rgb="00E46C0A"/>
      <rgbColor rgb="00666699"/>
      <rgbColor rgb="00969696"/>
      <rgbColor rgb="00003366"/>
      <rgbColor rgb="00339966"/>
      <rgbColor rgb="00003300"/>
      <rgbColor rgb="00333300"/>
      <rgbColor rgb="00993300"/>
      <rgbColor rgb="00993366"/>
      <rgbColor rgb="00333399"/>
      <rgbColor rgb="00333333"/>
    </indexedColors>
    <mruColors>
      <color rgb="FFFFCCFF"/>
      <color rgb="FFEFE2F0"/>
      <color rgb="FFF84ACA"/>
      <color rgb="FFF8FEA8"/>
      <color rgb="FFEDE4E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428625</xdr:colOff>
      <xdr:row>87</xdr:row>
      <xdr:rowOff>161925</xdr:rowOff>
    </xdr:from>
    <xdr:to>
      <xdr:col>14</xdr:col>
      <xdr:colOff>124712</xdr:colOff>
      <xdr:row>98</xdr:row>
      <xdr:rowOff>781538</xdr:rowOff>
    </xdr:to>
    <xdr:pic>
      <xdr:nvPicPr>
        <xdr:cNvPr id="2" name="Imagem 1">
          <a:extLst>
            <a:ext uri="{FF2B5EF4-FFF2-40B4-BE49-F238E27FC236}">
              <a16:creationId xmlns:a16="http://schemas.microsoft.com/office/drawing/2014/main" id="{C7A707C9-D8E9-90E7-A3A8-D8271546B656}"/>
            </a:ext>
          </a:extLst>
        </xdr:cNvPr>
        <xdr:cNvPicPr>
          <a:picLocks noChangeAspect="1"/>
        </xdr:cNvPicPr>
      </xdr:nvPicPr>
      <xdr:blipFill>
        <a:blip xmlns:r="http://schemas.openxmlformats.org/officeDocument/2006/relationships" r:embed="rId1"/>
        <a:stretch>
          <a:fillRect/>
        </a:stretch>
      </xdr:blipFill>
      <xdr:spPr>
        <a:xfrm>
          <a:off x="10325100" y="30289500"/>
          <a:ext cx="6354062" cy="3496163"/>
        </a:xfrm>
        <a:prstGeom prst="rect">
          <a:avLst/>
        </a:prstGeom>
      </xdr:spPr>
    </xdr:pic>
    <xdr:clientData/>
  </xdr:twoCellAnchor>
  <xdr:twoCellAnchor editAs="oneCell">
    <xdr:from>
      <xdr:col>1</xdr:col>
      <xdr:colOff>590549</xdr:colOff>
      <xdr:row>60</xdr:row>
      <xdr:rowOff>57150</xdr:rowOff>
    </xdr:from>
    <xdr:to>
      <xdr:col>4</xdr:col>
      <xdr:colOff>2811008</xdr:colOff>
      <xdr:row>60</xdr:row>
      <xdr:rowOff>2051396</xdr:rowOff>
    </xdr:to>
    <xdr:pic>
      <xdr:nvPicPr>
        <xdr:cNvPr id="3" name="Imagem 2">
          <a:extLst>
            <a:ext uri="{FF2B5EF4-FFF2-40B4-BE49-F238E27FC236}">
              <a16:creationId xmlns:a16="http://schemas.microsoft.com/office/drawing/2014/main" id="{D6DDE310-A721-668C-8BE8-E4530D0006CE}"/>
            </a:ext>
          </a:extLst>
        </xdr:cNvPr>
        <xdr:cNvPicPr>
          <a:picLocks noChangeAspect="1"/>
        </xdr:cNvPicPr>
      </xdr:nvPicPr>
      <xdr:blipFill>
        <a:blip xmlns:r="http://schemas.openxmlformats.org/officeDocument/2006/relationships" r:embed="rId2"/>
        <a:stretch>
          <a:fillRect/>
        </a:stretch>
      </xdr:blipFill>
      <xdr:spPr>
        <a:xfrm>
          <a:off x="1304924" y="16668750"/>
          <a:ext cx="6697209" cy="199424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3F78E-E407-4974-989C-BDADC3663761}">
  <sheetPr>
    <tabColor rgb="FF00B0F0"/>
    <pageSetUpPr fitToPage="1"/>
  </sheetPr>
  <dimension ref="A2:J55"/>
  <sheetViews>
    <sheetView tabSelected="1" topLeftCell="A2" zoomScale="130" zoomScaleNormal="130" workbookViewId="0">
      <pane ySplit="1995" topLeftCell="A3" activePane="bottomLeft"/>
      <selection activeCell="D4" sqref="D4"/>
      <selection pane="bottomLeft" activeCell="C15" sqref="C15"/>
    </sheetView>
  </sheetViews>
  <sheetFormatPr defaultRowHeight="15"/>
  <cols>
    <col min="1" max="1" width="24.28515625" style="326" customWidth="1"/>
    <col min="2" max="2" width="9.140625" style="195"/>
    <col min="3" max="3" width="73" customWidth="1"/>
    <col min="4" max="4" width="13.85546875" customWidth="1"/>
    <col min="5" max="8" width="14.7109375" customWidth="1"/>
    <col min="9" max="9" width="12.28515625" customWidth="1"/>
  </cols>
  <sheetData>
    <row r="2" spans="1:10" ht="24" customHeight="1">
      <c r="A2" s="488" t="s">
        <v>478</v>
      </c>
      <c r="B2" s="488"/>
      <c r="C2" s="488"/>
      <c r="D2" s="488"/>
      <c r="E2" s="488"/>
      <c r="F2" s="488"/>
      <c r="G2" s="488"/>
      <c r="H2" s="488"/>
      <c r="I2" s="186"/>
      <c r="J2" s="186"/>
    </row>
    <row r="3" spans="1:10" ht="29.25" customHeight="1">
      <c r="A3" s="305" t="s">
        <v>308</v>
      </c>
      <c r="B3" s="305" t="s">
        <v>148</v>
      </c>
      <c r="C3" s="306" t="s">
        <v>309</v>
      </c>
      <c r="D3" s="305" t="s">
        <v>740</v>
      </c>
      <c r="E3" s="305" t="s">
        <v>156</v>
      </c>
      <c r="F3" s="305" t="s">
        <v>705</v>
      </c>
      <c r="G3" s="305" t="s">
        <v>342</v>
      </c>
      <c r="H3" s="305" t="s">
        <v>474</v>
      </c>
    </row>
    <row r="4" spans="1:10">
      <c r="A4" s="486" t="s">
        <v>310</v>
      </c>
      <c r="B4" s="192">
        <v>1</v>
      </c>
      <c r="C4" s="187" t="s">
        <v>311</v>
      </c>
      <c r="D4" s="190">
        <v>9689.5499999999993</v>
      </c>
      <c r="E4" s="191" t="s">
        <v>321</v>
      </c>
      <c r="F4" s="324">
        <f>'M2'!H40</f>
        <v>5.33</v>
      </c>
      <c r="G4" s="324">
        <f>TRUNC(D4*F4,2)</f>
        <v>51645.3</v>
      </c>
      <c r="H4" s="324">
        <f>ROUND(G4*12,2)</f>
        <v>619743.6</v>
      </c>
    </row>
    <row r="5" spans="1:10">
      <c r="A5" s="484"/>
      <c r="B5" s="192">
        <v>2</v>
      </c>
      <c r="C5" s="187" t="s">
        <v>312</v>
      </c>
      <c r="D5" s="190">
        <v>1306</v>
      </c>
      <c r="E5" s="191" t="s">
        <v>321</v>
      </c>
      <c r="F5" s="324">
        <f>'M2'!H41</f>
        <v>2.17</v>
      </c>
      <c r="G5" s="324">
        <f t="shared" ref="G5:G9" si="0">TRUNC(D5*F5,2)</f>
        <v>2834.02</v>
      </c>
      <c r="H5" s="324">
        <f t="shared" ref="H5:H41" si="1">ROUND(G5*12,2)</f>
        <v>34008.239999999998</v>
      </c>
    </row>
    <row r="6" spans="1:10" ht="26.25" customHeight="1">
      <c r="A6" s="484"/>
      <c r="B6" s="192">
        <v>3</v>
      </c>
      <c r="C6" s="187" t="s">
        <v>313</v>
      </c>
      <c r="D6" s="190">
        <v>2228.5</v>
      </c>
      <c r="E6" s="191" t="s">
        <v>321</v>
      </c>
      <c r="F6" s="324">
        <f>'M2'!H42</f>
        <v>1.3</v>
      </c>
      <c r="G6" s="324">
        <f t="shared" si="0"/>
        <v>2897.05</v>
      </c>
      <c r="H6" s="324">
        <f t="shared" si="1"/>
        <v>34764.6</v>
      </c>
    </row>
    <row r="7" spans="1:10">
      <c r="A7" s="484"/>
      <c r="B7" s="192">
        <v>4</v>
      </c>
      <c r="C7" s="187" t="s">
        <v>220</v>
      </c>
      <c r="D7" s="190">
        <v>1200</v>
      </c>
      <c r="E7" s="191" t="s">
        <v>321</v>
      </c>
      <c r="F7" s="324">
        <f>'M2'!H43</f>
        <v>5.33</v>
      </c>
      <c r="G7" s="324">
        <f t="shared" si="0"/>
        <v>6396</v>
      </c>
      <c r="H7" s="324">
        <f t="shared" si="1"/>
        <v>76752</v>
      </c>
    </row>
    <row r="8" spans="1:10">
      <c r="A8" s="484"/>
      <c r="B8" s="192">
        <v>5</v>
      </c>
      <c r="C8" s="187" t="s">
        <v>314</v>
      </c>
      <c r="D8" s="190">
        <v>1000</v>
      </c>
      <c r="E8" s="191" t="s">
        <v>321</v>
      </c>
      <c r="F8" s="324">
        <f>'M2'!H44</f>
        <v>2.17</v>
      </c>
      <c r="G8" s="324">
        <f t="shared" si="0"/>
        <v>2170</v>
      </c>
      <c r="H8" s="324">
        <f t="shared" si="1"/>
        <v>26040</v>
      </c>
    </row>
    <row r="9" spans="1:10">
      <c r="A9" s="487"/>
      <c r="B9" s="192">
        <v>6</v>
      </c>
      <c r="C9" s="187" t="s">
        <v>221</v>
      </c>
      <c r="D9" s="190">
        <v>66.2</v>
      </c>
      <c r="E9" s="191" t="s">
        <v>321</v>
      </c>
      <c r="F9" s="324">
        <f>'M2'!H45</f>
        <v>5.33</v>
      </c>
      <c r="G9" s="324">
        <f t="shared" si="0"/>
        <v>352.84</v>
      </c>
      <c r="H9" s="324">
        <f t="shared" si="1"/>
        <v>4234.08</v>
      </c>
      <c r="I9" s="417"/>
    </row>
    <row r="10" spans="1:10">
      <c r="A10" s="486" t="s">
        <v>338</v>
      </c>
      <c r="B10" s="192">
        <v>7</v>
      </c>
      <c r="C10" s="187" t="s">
        <v>223</v>
      </c>
      <c r="D10" s="192">
        <v>4</v>
      </c>
      <c r="E10" s="191" t="s">
        <v>322</v>
      </c>
      <c r="F10" s="324">
        <f>'MO residente'!H129</f>
        <v>7697.5</v>
      </c>
      <c r="G10" s="324">
        <f>ROUND(D10*F10,2)</f>
        <v>30790</v>
      </c>
      <c r="H10" s="324">
        <f t="shared" si="1"/>
        <v>369480</v>
      </c>
    </row>
    <row r="11" spans="1:10">
      <c r="A11" s="484"/>
      <c r="B11" s="192">
        <v>8</v>
      </c>
      <c r="C11" s="187" t="s">
        <v>224</v>
      </c>
      <c r="D11" s="192">
        <v>1</v>
      </c>
      <c r="E11" s="191" t="s">
        <v>322</v>
      </c>
      <c r="F11" s="324">
        <f>'MO residente'!I129</f>
        <v>11476.1</v>
      </c>
      <c r="G11" s="324">
        <f>ROUND(D11*F11,2)</f>
        <v>11476.1</v>
      </c>
      <c r="H11" s="324">
        <f t="shared" si="1"/>
        <v>137713.20000000001</v>
      </c>
    </row>
    <row r="12" spans="1:10">
      <c r="A12" s="484"/>
      <c r="B12" s="192">
        <v>9</v>
      </c>
      <c r="C12" s="187" t="s">
        <v>225</v>
      </c>
      <c r="D12" s="192">
        <v>1</v>
      </c>
      <c r="E12" s="191" t="s">
        <v>322</v>
      </c>
      <c r="F12" s="324">
        <f>'MO residente'!J129</f>
        <v>12404.74</v>
      </c>
      <c r="G12" s="324">
        <f t="shared" ref="G12:G46" si="2">ROUND(D12*F12,2)</f>
        <v>12404.74</v>
      </c>
      <c r="H12" s="324">
        <f t="shared" si="1"/>
        <v>148856.88</v>
      </c>
    </row>
    <row r="13" spans="1:10">
      <c r="A13" s="484"/>
      <c r="B13" s="192">
        <v>10</v>
      </c>
      <c r="C13" s="187" t="s">
        <v>226</v>
      </c>
      <c r="D13" s="192">
        <v>1</v>
      </c>
      <c r="E13" s="191" t="s">
        <v>322</v>
      </c>
      <c r="F13" s="324">
        <f>'MO residente'!K129</f>
        <v>10929.28</v>
      </c>
      <c r="G13" s="324">
        <f t="shared" si="2"/>
        <v>10929.28</v>
      </c>
      <c r="H13" s="324">
        <f t="shared" si="1"/>
        <v>131151.35999999999</v>
      </c>
    </row>
    <row r="14" spans="1:10">
      <c r="A14" s="484"/>
      <c r="B14" s="192">
        <v>11</v>
      </c>
      <c r="C14" s="187" t="s">
        <v>227</v>
      </c>
      <c r="D14" s="192">
        <v>2</v>
      </c>
      <c r="E14" s="191" t="s">
        <v>322</v>
      </c>
      <c r="F14" s="324">
        <f>'MO residente'!L129</f>
        <v>5870.84</v>
      </c>
      <c r="G14" s="324">
        <f t="shared" si="2"/>
        <v>11741.68</v>
      </c>
      <c r="H14" s="324">
        <f t="shared" si="1"/>
        <v>140900.16</v>
      </c>
    </row>
    <row r="15" spans="1:10">
      <c r="A15" s="484"/>
      <c r="B15" s="192">
        <v>12</v>
      </c>
      <c r="C15" s="187" t="s">
        <v>228</v>
      </c>
      <c r="D15" s="192">
        <v>2</v>
      </c>
      <c r="E15" s="191" t="s">
        <v>322</v>
      </c>
      <c r="F15" s="324">
        <f>'MO residente'!M129</f>
        <v>7715.08</v>
      </c>
      <c r="G15" s="324">
        <f t="shared" si="2"/>
        <v>15430.16</v>
      </c>
      <c r="H15" s="324">
        <f t="shared" si="1"/>
        <v>185161.92</v>
      </c>
    </row>
    <row r="16" spans="1:10">
      <c r="A16" s="487"/>
      <c r="B16" s="192">
        <v>13</v>
      </c>
      <c r="C16" s="187" t="s">
        <v>307</v>
      </c>
      <c r="D16" s="192">
        <v>1</v>
      </c>
      <c r="E16" s="191" t="s">
        <v>322</v>
      </c>
      <c r="F16" s="324">
        <f>'MO residente'!N129</f>
        <v>7739.56</v>
      </c>
      <c r="G16" s="324">
        <f t="shared" si="2"/>
        <v>7739.56</v>
      </c>
      <c r="H16" s="324">
        <f t="shared" si="1"/>
        <v>92874.72</v>
      </c>
      <c r="I16" s="417"/>
    </row>
    <row r="17" spans="1:8">
      <c r="A17" s="486" t="s">
        <v>315</v>
      </c>
      <c r="B17" s="192">
        <v>14</v>
      </c>
      <c r="C17" s="187" t="s">
        <v>316</v>
      </c>
      <c r="D17" s="192">
        <v>3</v>
      </c>
      <c r="E17" s="191" t="s">
        <v>322</v>
      </c>
      <c r="F17" s="749">
        <f>VIGILANTE!D131</f>
        <v>19490.12</v>
      </c>
      <c r="G17" s="324">
        <f t="shared" si="2"/>
        <v>58470.36</v>
      </c>
      <c r="H17" s="324">
        <f t="shared" si="1"/>
        <v>701644.32</v>
      </c>
    </row>
    <row r="18" spans="1:8">
      <c r="A18" s="484"/>
      <c r="B18" s="192">
        <v>15</v>
      </c>
      <c r="C18" s="187" t="s">
        <v>317</v>
      </c>
      <c r="D18" s="192">
        <v>3</v>
      </c>
      <c r="E18" s="191" t="s">
        <v>322</v>
      </c>
      <c r="F18" s="749">
        <f>VIGILANTE!E131</f>
        <v>21296.02</v>
      </c>
      <c r="G18" s="324">
        <f t="shared" si="2"/>
        <v>63888.06</v>
      </c>
      <c r="H18" s="324">
        <f t="shared" si="1"/>
        <v>766656.72</v>
      </c>
    </row>
    <row r="19" spans="1:8">
      <c r="A19" s="483" t="s">
        <v>325</v>
      </c>
      <c r="B19" s="192">
        <v>16</v>
      </c>
      <c r="C19" s="187" t="s">
        <v>330</v>
      </c>
      <c r="D19" s="192">
        <v>2</v>
      </c>
      <c r="E19" s="191" t="s">
        <v>322</v>
      </c>
      <c r="F19" s="749">
        <f>BRIGADISTA!D131</f>
        <v>25916.98</v>
      </c>
      <c r="G19" s="324">
        <f t="shared" si="2"/>
        <v>51833.96</v>
      </c>
      <c r="H19" s="324">
        <f t="shared" si="1"/>
        <v>622007.52</v>
      </c>
    </row>
    <row r="20" spans="1:8">
      <c r="A20" s="484"/>
      <c r="B20" s="192">
        <v>17</v>
      </c>
      <c r="C20" s="187" t="s">
        <v>331</v>
      </c>
      <c r="D20" s="192">
        <v>2</v>
      </c>
      <c r="E20" s="191" t="s">
        <v>322</v>
      </c>
      <c r="F20" s="749">
        <f>BRIGADISTA!E131</f>
        <v>29336.48</v>
      </c>
      <c r="G20" s="324">
        <f t="shared" si="2"/>
        <v>58672.959999999999</v>
      </c>
      <c r="H20" s="324">
        <f t="shared" si="1"/>
        <v>704075.52</v>
      </c>
    </row>
    <row r="21" spans="1:8">
      <c r="A21" s="484"/>
      <c r="B21" s="192">
        <v>18</v>
      </c>
      <c r="C21" s="187" t="s">
        <v>503</v>
      </c>
      <c r="D21" s="192">
        <v>2</v>
      </c>
      <c r="E21" s="191" t="s">
        <v>322</v>
      </c>
      <c r="F21" s="749">
        <f>BRIGADISTA!D143</f>
        <v>1446.9141555555555</v>
      </c>
      <c r="G21" s="324">
        <f t="shared" si="2"/>
        <v>2893.83</v>
      </c>
      <c r="H21" s="324">
        <f t="shared" si="1"/>
        <v>34725.96</v>
      </c>
    </row>
    <row r="22" spans="1:8">
      <c r="A22" s="485"/>
      <c r="B22" s="192">
        <v>19</v>
      </c>
      <c r="C22" s="187" t="s">
        <v>504</v>
      </c>
      <c r="D22" s="192">
        <v>2</v>
      </c>
      <c r="E22" s="191" t="s">
        <v>322</v>
      </c>
      <c r="F22" s="749">
        <f>BRIGADISTA!D139</f>
        <v>1663.9508888888888</v>
      </c>
      <c r="G22" s="324">
        <f t="shared" si="2"/>
        <v>3327.9</v>
      </c>
      <c r="H22" s="324">
        <f t="shared" si="1"/>
        <v>39934.800000000003</v>
      </c>
    </row>
    <row r="23" spans="1:8">
      <c r="A23" s="457" t="s">
        <v>685</v>
      </c>
      <c r="B23" s="192">
        <v>20</v>
      </c>
      <c r="C23" s="187" t="s">
        <v>686</v>
      </c>
      <c r="D23" s="192">
        <v>3</v>
      </c>
      <c r="E23" s="191" t="s">
        <v>322</v>
      </c>
      <c r="F23" s="749">
        <f>MOTORISTA!D130</f>
        <v>10099.42</v>
      </c>
      <c r="G23" s="324">
        <f t="shared" si="2"/>
        <v>30298.26</v>
      </c>
      <c r="H23" s="324">
        <f t="shared" ref="H23" si="3">ROUND(G23*12,2)</f>
        <v>363579.12</v>
      </c>
    </row>
    <row r="24" spans="1:8">
      <c r="A24" s="486" t="s">
        <v>320</v>
      </c>
      <c r="B24" s="192">
        <v>21</v>
      </c>
      <c r="C24" s="187" t="s">
        <v>326</v>
      </c>
      <c r="D24" s="192">
        <v>1</v>
      </c>
      <c r="E24" s="191" t="s">
        <v>322</v>
      </c>
      <c r="F24" s="325">
        <f>'MO residente'!D129</f>
        <v>13821.67</v>
      </c>
      <c r="G24" s="324">
        <f t="shared" si="2"/>
        <v>13821.67</v>
      </c>
      <c r="H24" s="324">
        <f t="shared" si="1"/>
        <v>165860.04</v>
      </c>
    </row>
    <row r="25" spans="1:8">
      <c r="A25" s="484"/>
      <c r="B25" s="192">
        <v>22</v>
      </c>
      <c r="C25" s="304" t="s">
        <v>563</v>
      </c>
      <c r="D25" s="192">
        <v>1</v>
      </c>
      <c r="E25" s="191" t="s">
        <v>322</v>
      </c>
      <c r="F25" s="325">
        <f>'MO residente'!E129</f>
        <v>11363.84</v>
      </c>
      <c r="G25" s="324">
        <f t="shared" si="2"/>
        <v>11363.84</v>
      </c>
      <c r="H25" s="324">
        <f t="shared" si="1"/>
        <v>136366.07999999999</v>
      </c>
    </row>
    <row r="26" spans="1:8">
      <c r="A26" s="484"/>
      <c r="B26" s="192">
        <v>23</v>
      </c>
      <c r="C26" s="189" t="s">
        <v>327</v>
      </c>
      <c r="D26" s="192">
        <v>1</v>
      </c>
      <c r="E26" s="191" t="s">
        <v>322</v>
      </c>
      <c r="F26" s="325">
        <f>'MO residente'!F129</f>
        <v>11363.84</v>
      </c>
      <c r="G26" s="324">
        <f t="shared" si="2"/>
        <v>11363.84</v>
      </c>
      <c r="H26" s="324">
        <f t="shared" si="1"/>
        <v>136366.07999999999</v>
      </c>
    </row>
    <row r="27" spans="1:8">
      <c r="A27" s="487"/>
      <c r="B27" s="192">
        <v>24</v>
      </c>
      <c r="C27" s="189" t="s">
        <v>562</v>
      </c>
      <c r="D27" s="192">
        <v>2</v>
      </c>
      <c r="E27" s="191" t="s">
        <v>322</v>
      </c>
      <c r="F27" s="325">
        <f>'MO residente'!G129</f>
        <v>7680.21</v>
      </c>
      <c r="G27" s="324">
        <f t="shared" si="2"/>
        <v>15360.42</v>
      </c>
      <c r="H27" s="324">
        <f t="shared" si="1"/>
        <v>184325.04</v>
      </c>
    </row>
    <row r="28" spans="1:8">
      <c r="A28" s="486" t="s">
        <v>718</v>
      </c>
      <c r="B28" s="192">
        <v>25</v>
      </c>
      <c r="C28" s="304" t="s">
        <v>223</v>
      </c>
      <c r="D28" s="192">
        <v>1</v>
      </c>
      <c r="E28" s="191" t="s">
        <v>322</v>
      </c>
      <c r="F28" s="749">
        <f>'MO residente SP'!D128</f>
        <v>5839.93</v>
      </c>
      <c r="G28" s="324">
        <f t="shared" si="2"/>
        <v>5839.93</v>
      </c>
      <c r="H28" s="324">
        <f t="shared" ref="H28:H29" si="4">ROUND(G28*12,2)</f>
        <v>70079.16</v>
      </c>
    </row>
    <row r="29" spans="1:8">
      <c r="A29" s="484"/>
      <c r="B29" s="192">
        <v>26</v>
      </c>
      <c r="C29" s="304" t="s">
        <v>227</v>
      </c>
      <c r="D29" s="192">
        <v>1</v>
      </c>
      <c r="E29" s="191" t="s">
        <v>322</v>
      </c>
      <c r="F29" s="749">
        <f>'MO residente SP'!E128</f>
        <v>5541.61</v>
      </c>
      <c r="G29" s="324">
        <f t="shared" si="2"/>
        <v>5541.61</v>
      </c>
      <c r="H29" s="324">
        <f t="shared" si="4"/>
        <v>66499.320000000007</v>
      </c>
    </row>
    <row r="30" spans="1:8" ht="15" customHeight="1">
      <c r="A30" s="486" t="s">
        <v>337</v>
      </c>
      <c r="B30" s="192">
        <v>27</v>
      </c>
      <c r="C30" s="189" t="s">
        <v>328</v>
      </c>
      <c r="D30" s="191">
        <v>6</v>
      </c>
      <c r="E30" s="191" t="s">
        <v>323</v>
      </c>
      <c r="F30" s="325">
        <f>Carregador!D128</f>
        <v>219.31</v>
      </c>
      <c r="G30" s="324">
        <f t="shared" si="2"/>
        <v>1315.86</v>
      </c>
      <c r="H30" s="324">
        <f t="shared" si="1"/>
        <v>15790.32</v>
      </c>
    </row>
    <row r="31" spans="1:8">
      <c r="A31" s="484"/>
      <c r="B31" s="192">
        <v>28</v>
      </c>
      <c r="C31" s="189" t="s">
        <v>230</v>
      </c>
      <c r="D31" s="191">
        <v>4</v>
      </c>
      <c r="E31" s="191" t="s">
        <v>323</v>
      </c>
      <c r="F31" s="325">
        <f>Piscineiro!D128</f>
        <v>219.62</v>
      </c>
      <c r="G31" s="324">
        <f t="shared" si="2"/>
        <v>878.48</v>
      </c>
      <c r="H31" s="324">
        <f t="shared" si="1"/>
        <v>10541.76</v>
      </c>
    </row>
    <row r="32" spans="1:8">
      <c r="A32" s="484"/>
      <c r="B32" s="192">
        <v>29</v>
      </c>
      <c r="C32" s="189" t="s">
        <v>329</v>
      </c>
      <c r="D32" s="191">
        <v>12</v>
      </c>
      <c r="E32" s="191" t="s">
        <v>323</v>
      </c>
      <c r="F32" s="325">
        <f>Servente!D131</f>
        <v>195.78299999999999</v>
      </c>
      <c r="G32" s="324">
        <f t="shared" si="2"/>
        <v>2349.4</v>
      </c>
      <c r="H32" s="324">
        <f t="shared" si="1"/>
        <v>28192.799999999999</v>
      </c>
    </row>
    <row r="33" spans="1:9">
      <c r="A33" s="484"/>
      <c r="B33" s="192">
        <v>30</v>
      </c>
      <c r="C33" s="189" t="s">
        <v>336</v>
      </c>
      <c r="D33" s="191">
        <v>2</v>
      </c>
      <c r="E33" s="191" t="s">
        <v>323</v>
      </c>
      <c r="F33" s="325">
        <f>Marceneiro!D128</f>
        <v>280.33</v>
      </c>
      <c r="G33" s="324">
        <f t="shared" si="2"/>
        <v>560.66</v>
      </c>
      <c r="H33" s="324">
        <f t="shared" si="1"/>
        <v>6727.92</v>
      </c>
    </row>
    <row r="34" spans="1:9">
      <c r="A34" s="484"/>
      <c r="B34" s="192">
        <v>31</v>
      </c>
      <c r="C34" s="189" t="s">
        <v>228</v>
      </c>
      <c r="D34" s="191">
        <v>4</v>
      </c>
      <c r="E34" s="191" t="s">
        <v>362</v>
      </c>
      <c r="F34" s="325">
        <f>'MO residente'!M132</f>
        <v>257.16933333333333</v>
      </c>
      <c r="G34" s="324">
        <f t="shared" si="2"/>
        <v>1028.68</v>
      </c>
      <c r="H34" s="324">
        <f t="shared" si="1"/>
        <v>12344.16</v>
      </c>
    </row>
    <row r="35" spans="1:9">
      <c r="A35" s="484"/>
      <c r="B35" s="192">
        <v>32</v>
      </c>
      <c r="C35" s="187" t="s">
        <v>316</v>
      </c>
      <c r="D35" s="192">
        <v>2</v>
      </c>
      <c r="E35" s="191" t="s">
        <v>323</v>
      </c>
      <c r="F35" s="325">
        <f>VIGILANTE!D138</f>
        <v>324.83533333333332</v>
      </c>
      <c r="G35" s="324">
        <f t="shared" si="2"/>
        <v>649.66999999999996</v>
      </c>
      <c r="H35" s="324">
        <f t="shared" si="1"/>
        <v>7796.04</v>
      </c>
    </row>
    <row r="36" spans="1:9">
      <c r="A36" s="484"/>
      <c r="B36" s="192">
        <v>33</v>
      </c>
      <c r="C36" s="187" t="s">
        <v>318</v>
      </c>
      <c r="D36" s="192">
        <v>6</v>
      </c>
      <c r="E36" s="191" t="s">
        <v>324</v>
      </c>
      <c r="F36" s="325">
        <f>VIGILANTE!D137</f>
        <v>24.139295454545454</v>
      </c>
      <c r="G36" s="324">
        <f>ROUND(D36*F36,2)</f>
        <v>144.84</v>
      </c>
      <c r="H36" s="324">
        <f t="shared" si="1"/>
        <v>1738.08</v>
      </c>
    </row>
    <row r="37" spans="1:9">
      <c r="A37" s="484"/>
      <c r="B37" s="192">
        <v>34</v>
      </c>
      <c r="C37" s="187" t="s">
        <v>319</v>
      </c>
      <c r="D37" s="192">
        <v>6</v>
      </c>
      <c r="E37" s="191" t="s">
        <v>324</v>
      </c>
      <c r="F37" s="325">
        <f>VIGILANTE!E137</f>
        <v>26.772613636363637</v>
      </c>
      <c r="G37" s="324">
        <f t="shared" si="2"/>
        <v>160.63999999999999</v>
      </c>
      <c r="H37" s="324">
        <f t="shared" si="1"/>
        <v>1927.68</v>
      </c>
    </row>
    <row r="38" spans="1:9">
      <c r="A38" s="484"/>
      <c r="B38" s="192">
        <v>35</v>
      </c>
      <c r="C38" s="304" t="s">
        <v>715</v>
      </c>
      <c r="D38" s="192">
        <v>15</v>
      </c>
      <c r="E38" s="191" t="s">
        <v>362</v>
      </c>
      <c r="F38" s="325">
        <f>MOTORISTA!E130</f>
        <v>367.97</v>
      </c>
      <c r="G38" s="324">
        <f t="shared" si="2"/>
        <v>5519.55</v>
      </c>
      <c r="H38" s="324">
        <f t="shared" ref="H38" si="5">ROUND(G38*12,2)</f>
        <v>66234.600000000006</v>
      </c>
    </row>
    <row r="39" spans="1:9">
      <c r="A39" s="484"/>
      <c r="B39" s="192">
        <v>36</v>
      </c>
      <c r="C39" s="304" t="s">
        <v>714</v>
      </c>
      <c r="D39" s="192">
        <v>80</v>
      </c>
      <c r="E39" s="191" t="s">
        <v>324</v>
      </c>
      <c r="F39" s="325">
        <f>MOTORISTA!C143</f>
        <v>24.081818181818182</v>
      </c>
      <c r="G39" s="324">
        <f>ROUND(D39*F39,2)</f>
        <v>1926.55</v>
      </c>
      <c r="H39" s="324">
        <f t="shared" si="1"/>
        <v>23118.6</v>
      </c>
    </row>
    <row r="40" spans="1:9">
      <c r="A40" s="484"/>
      <c r="B40" s="192">
        <v>37</v>
      </c>
      <c r="C40" s="304" t="s">
        <v>709</v>
      </c>
      <c r="D40" s="752">
        <v>2</v>
      </c>
      <c r="E40" s="753" t="s">
        <v>362</v>
      </c>
      <c r="F40" s="754">
        <v>350</v>
      </c>
      <c r="G40" s="324">
        <f t="shared" si="2"/>
        <v>700</v>
      </c>
      <c r="H40" s="749">
        <f t="shared" si="1"/>
        <v>8400</v>
      </c>
    </row>
    <row r="41" spans="1:9">
      <c r="A41" s="485"/>
      <c r="B41" s="192">
        <v>38</v>
      </c>
      <c r="C41" s="304" t="s">
        <v>710</v>
      </c>
      <c r="D41" s="752">
        <v>1</v>
      </c>
      <c r="E41" s="753" t="s">
        <v>362</v>
      </c>
      <c r="F41" s="754">
        <v>400</v>
      </c>
      <c r="G41" s="324">
        <f t="shared" si="2"/>
        <v>400</v>
      </c>
      <c r="H41" s="749">
        <f t="shared" si="1"/>
        <v>4800</v>
      </c>
    </row>
    <row r="42" spans="1:9">
      <c r="A42" s="489" t="s">
        <v>476</v>
      </c>
      <c r="B42" s="192">
        <v>39</v>
      </c>
      <c r="C42" s="193" t="s">
        <v>339</v>
      </c>
      <c r="D42" s="192">
        <v>1</v>
      </c>
      <c r="E42" s="191" t="s">
        <v>739</v>
      </c>
      <c r="F42" s="324" t="s">
        <v>343</v>
      </c>
      <c r="G42" s="324">
        <f>'Mat. Limp.'!H57</f>
        <v>28448.49</v>
      </c>
      <c r="H42" s="324">
        <f>ROUND(G42*12,2)</f>
        <v>341381.88</v>
      </c>
    </row>
    <row r="43" spans="1:9">
      <c r="A43" s="489"/>
      <c r="B43" s="192">
        <v>40</v>
      </c>
      <c r="C43" s="193" t="s">
        <v>340</v>
      </c>
      <c r="D43" s="192">
        <v>1</v>
      </c>
      <c r="E43" s="191" t="s">
        <v>739</v>
      </c>
      <c r="F43" s="324" t="s">
        <v>343</v>
      </c>
      <c r="G43" s="324">
        <f>'Mat. Copa'!H27</f>
        <v>17200.900000000001</v>
      </c>
      <c r="H43" s="324">
        <f t="shared" ref="H43:H45" si="6">ROUND(G43*12,2)</f>
        <v>206410.8</v>
      </c>
    </row>
    <row r="44" spans="1:9">
      <c r="A44" s="489"/>
      <c r="B44" s="192">
        <v>41</v>
      </c>
      <c r="C44" s="193" t="s">
        <v>341</v>
      </c>
      <c r="D44" s="192">
        <v>1</v>
      </c>
      <c r="E44" s="191" t="s">
        <v>739</v>
      </c>
      <c r="F44" s="324" t="s">
        <v>343</v>
      </c>
      <c r="G44" s="324">
        <f>'Mat. Jardim'!H15</f>
        <v>704.75</v>
      </c>
      <c r="H44" s="324">
        <f t="shared" si="6"/>
        <v>8457</v>
      </c>
    </row>
    <row r="45" spans="1:9">
      <c r="A45" s="489"/>
      <c r="B45" s="192">
        <v>42</v>
      </c>
      <c r="C45" s="187" t="s">
        <v>475</v>
      </c>
      <c r="D45" s="192">
        <v>1</v>
      </c>
      <c r="E45" s="191" t="s">
        <v>739</v>
      </c>
      <c r="F45" s="324" t="s">
        <v>343</v>
      </c>
      <c r="G45" s="324">
        <f>'Mat. prim socorros'!H26</f>
        <v>171.23</v>
      </c>
      <c r="H45" s="324">
        <f t="shared" si="6"/>
        <v>2054.7600000000002</v>
      </c>
    </row>
    <row r="46" spans="1:9">
      <c r="A46" s="480" t="s">
        <v>477</v>
      </c>
      <c r="B46" s="192">
        <v>43</v>
      </c>
      <c r="C46" s="187" t="s">
        <v>335</v>
      </c>
      <c r="D46" s="192">
        <v>1</v>
      </c>
      <c r="E46" s="191" t="s">
        <v>739</v>
      </c>
      <c r="F46" s="324" t="s">
        <v>343</v>
      </c>
      <c r="G46" s="324">
        <f>H46/12</f>
        <v>914.59</v>
      </c>
      <c r="H46" s="324">
        <f>'Serv Eventuais'!H5</f>
        <v>10975.08</v>
      </c>
      <c r="I46" s="417"/>
    </row>
    <row r="47" spans="1:9">
      <c r="A47" s="481"/>
      <c r="B47" s="192">
        <v>44</v>
      </c>
      <c r="C47" s="187" t="s">
        <v>332</v>
      </c>
      <c r="D47" s="192">
        <v>1</v>
      </c>
      <c r="E47" s="191" t="s">
        <v>739</v>
      </c>
      <c r="F47" s="324" t="s">
        <v>343</v>
      </c>
      <c r="G47" s="324">
        <f t="shared" ref="G47:G51" si="7">H47/12</f>
        <v>1281.79</v>
      </c>
      <c r="H47" s="324">
        <f>'Serv Eventuais'!H8</f>
        <v>15381.48</v>
      </c>
      <c r="I47" s="417"/>
    </row>
    <row r="48" spans="1:9">
      <c r="A48" s="481"/>
      <c r="B48" s="192">
        <v>45</v>
      </c>
      <c r="C48" s="187" t="s">
        <v>333</v>
      </c>
      <c r="D48" s="192">
        <v>1</v>
      </c>
      <c r="E48" s="191" t="s">
        <v>739</v>
      </c>
      <c r="F48" s="452" t="s">
        <v>343</v>
      </c>
      <c r="G48" s="324">
        <f t="shared" si="7"/>
        <v>158.79999999999998</v>
      </c>
      <c r="H48" s="324">
        <f>'Serv Eventuais'!H18</f>
        <v>1905.6</v>
      </c>
      <c r="I48" s="417"/>
    </row>
    <row r="49" spans="1:9">
      <c r="A49" s="481"/>
      <c r="B49" s="192">
        <v>46</v>
      </c>
      <c r="C49" s="187" t="s">
        <v>334</v>
      </c>
      <c r="D49" s="192">
        <v>1</v>
      </c>
      <c r="E49" s="191" t="s">
        <v>739</v>
      </c>
      <c r="F49" s="452" t="s">
        <v>343</v>
      </c>
      <c r="G49" s="324">
        <f t="shared" si="7"/>
        <v>320.67500000000001</v>
      </c>
      <c r="H49" s="324">
        <f>'Serv Eventuais'!H20</f>
        <v>3848.1</v>
      </c>
      <c r="I49" s="417"/>
    </row>
    <row r="50" spans="1:9">
      <c r="A50" s="481"/>
      <c r="B50" s="192">
        <v>47</v>
      </c>
      <c r="C50" s="187" t="s">
        <v>347</v>
      </c>
      <c r="D50" s="192">
        <v>1</v>
      </c>
      <c r="E50" s="191" t="s">
        <v>739</v>
      </c>
      <c r="F50" s="452" t="s">
        <v>343</v>
      </c>
      <c r="G50" s="324">
        <f t="shared" si="7"/>
        <v>1655.9958333333334</v>
      </c>
      <c r="H50" s="324">
        <f>'Serv Eventuais'!H21</f>
        <v>19871.95</v>
      </c>
      <c r="I50" s="417"/>
    </row>
    <row r="51" spans="1:9">
      <c r="A51" s="481"/>
      <c r="B51" s="192">
        <v>48</v>
      </c>
      <c r="C51" s="187" t="s">
        <v>363</v>
      </c>
      <c r="D51" s="192">
        <v>1</v>
      </c>
      <c r="E51" s="191" t="s">
        <v>739</v>
      </c>
      <c r="F51" s="452" t="s">
        <v>343</v>
      </c>
      <c r="G51" s="324">
        <f t="shared" si="7"/>
        <v>3933.6333333333332</v>
      </c>
      <c r="H51" s="324">
        <f>'Serv Eventuais'!H26</f>
        <v>47203.6</v>
      </c>
      <c r="I51" s="417"/>
    </row>
    <row r="52" spans="1:9">
      <c r="A52" s="482"/>
      <c r="B52" s="192">
        <v>49</v>
      </c>
      <c r="C52" s="455" t="s">
        <v>680</v>
      </c>
      <c r="D52" s="192">
        <v>1</v>
      </c>
      <c r="E52" s="191" t="s">
        <v>739</v>
      </c>
      <c r="F52" s="452" t="s">
        <v>343</v>
      </c>
      <c r="G52" s="324">
        <f>H52/12</f>
        <v>525</v>
      </c>
      <c r="H52" s="324">
        <f>'Serv Eventuais'!H29</f>
        <v>6300</v>
      </c>
      <c r="I52" s="417"/>
    </row>
    <row r="53" spans="1:9">
      <c r="A53" s="630" t="s">
        <v>483</v>
      </c>
      <c r="B53" s="630"/>
      <c r="C53" s="630"/>
      <c r="D53" s="630"/>
      <c r="E53" s="630"/>
      <c r="F53" s="630"/>
      <c r="G53" s="402">
        <f>SUM(G4:G52)</f>
        <v>570433.55416666681</v>
      </c>
      <c r="H53" s="757">
        <f>SUM(H4:H52)</f>
        <v>6845202.6499999985</v>
      </c>
    </row>
    <row r="55" spans="1:9">
      <c r="A55" s="475" t="s">
        <v>724</v>
      </c>
    </row>
  </sheetData>
  <mergeCells count="11">
    <mergeCell ref="A2:H2"/>
    <mergeCell ref="A4:A9"/>
    <mergeCell ref="A10:A16"/>
    <mergeCell ref="A17:A18"/>
    <mergeCell ref="A42:A45"/>
    <mergeCell ref="A28:A29"/>
    <mergeCell ref="A46:A52"/>
    <mergeCell ref="A53:F53"/>
    <mergeCell ref="A19:A22"/>
    <mergeCell ref="A24:A27"/>
    <mergeCell ref="A30:A41"/>
  </mergeCells>
  <phoneticPr fontId="49" type="noConversion"/>
  <pageMargins left="0.51181102362204722" right="0.14000000000000001" top="0.17" bottom="0.17" header="0.17" footer="0.31496062992125984"/>
  <pageSetup paperSize="9"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pageSetUpPr fitToPage="1"/>
  </sheetPr>
  <dimension ref="A1:D131"/>
  <sheetViews>
    <sheetView zoomScaleNormal="100" zoomScaleSheetLayoutView="100" workbookViewId="0">
      <selection activeCell="B13" sqref="B13"/>
    </sheetView>
  </sheetViews>
  <sheetFormatPr defaultRowHeight="12"/>
  <cols>
    <col min="1" max="1" width="11" style="1" customWidth="1"/>
    <col min="2" max="2" width="59" style="1" customWidth="1"/>
    <col min="3" max="3" width="15.7109375" style="249" customWidth="1"/>
    <col min="4" max="4" width="22.5703125" style="249" customWidth="1"/>
    <col min="5" max="16384" width="9.140625" style="1"/>
  </cols>
  <sheetData>
    <row r="1" spans="1:4" ht="30" customHeight="1">
      <c r="A1" s="645" t="s">
        <v>1</v>
      </c>
      <c r="B1" s="645"/>
      <c r="C1" s="645"/>
      <c r="D1" s="645"/>
    </row>
    <row r="2" spans="1:4" ht="15">
      <c r="A2" s="4"/>
      <c r="B2" s="4"/>
      <c r="C2" s="4"/>
      <c r="D2" s="5"/>
    </row>
    <row r="3" spans="1:4" ht="15">
      <c r="A3" s="553" t="s">
        <v>388</v>
      </c>
      <c r="B3" s="554"/>
      <c r="C3" s="555" t="s">
        <v>371</v>
      </c>
      <c r="D3" s="556"/>
    </row>
    <row r="4" spans="1:4" ht="15">
      <c r="A4" s="553" t="s">
        <v>389</v>
      </c>
      <c r="B4" s="554"/>
      <c r="C4" s="555"/>
      <c r="D4" s="556"/>
    </row>
    <row r="5" spans="1:4" ht="15">
      <c r="A5" s="6"/>
      <c r="B5" s="6"/>
      <c r="C5" s="2"/>
      <c r="D5" s="3"/>
    </row>
    <row r="6" spans="1:4" ht="15">
      <c r="A6" s="557" t="s">
        <v>2</v>
      </c>
      <c r="B6" s="558"/>
      <c r="C6" s="558"/>
      <c r="D6" s="557"/>
    </row>
    <row r="7" spans="1:4" ht="15" customHeight="1">
      <c r="A7" s="28" t="s">
        <v>3</v>
      </c>
      <c r="B7" s="29" t="s">
        <v>4</v>
      </c>
      <c r="C7" s="251"/>
      <c r="D7" s="30"/>
    </row>
    <row r="8" spans="1:4" ht="15" customHeight="1">
      <c r="A8" s="31" t="s">
        <v>5</v>
      </c>
      <c r="B8" s="32" t="s">
        <v>6</v>
      </c>
      <c r="C8" s="251"/>
      <c r="D8" s="221" t="s">
        <v>7</v>
      </c>
    </row>
    <row r="9" spans="1:4" ht="15" customHeight="1">
      <c r="A9" s="31" t="s">
        <v>8</v>
      </c>
      <c r="B9" s="32" t="s">
        <v>9</v>
      </c>
      <c r="C9" s="559" t="s">
        <v>730</v>
      </c>
      <c r="D9" s="559"/>
    </row>
    <row r="10" spans="1:4" ht="15">
      <c r="A10" s="31" t="s">
        <v>10</v>
      </c>
      <c r="B10" s="32" t="s">
        <v>11</v>
      </c>
      <c r="C10" s="252"/>
      <c r="D10" s="222">
        <v>12</v>
      </c>
    </row>
    <row r="11" spans="1:4" ht="15">
      <c r="A11" s="31" t="s">
        <v>12</v>
      </c>
      <c r="B11" s="32" t="s">
        <v>147</v>
      </c>
      <c r="C11" s="253"/>
      <c r="D11" s="223" t="s">
        <v>485</v>
      </c>
    </row>
    <row r="12" spans="1:4" ht="15">
      <c r="A12" s="31" t="s">
        <v>21</v>
      </c>
      <c r="B12" s="32" t="s">
        <v>13</v>
      </c>
      <c r="C12" s="254"/>
      <c r="D12" s="224"/>
    </row>
    <row r="13" spans="1:4" ht="15">
      <c r="A13" s="31" t="s">
        <v>22</v>
      </c>
      <c r="B13" s="32" t="s">
        <v>163</v>
      </c>
      <c r="C13" s="254"/>
      <c r="D13" s="225"/>
    </row>
    <row r="14" spans="1:4" ht="15">
      <c r="A14" s="33"/>
      <c r="B14" s="33"/>
      <c r="C14" s="255"/>
      <c r="D14" s="3"/>
    </row>
    <row r="15" spans="1:4" ht="15">
      <c r="A15" s="560" t="s">
        <v>14</v>
      </c>
      <c r="B15" s="561"/>
      <c r="C15" s="561"/>
      <c r="D15" s="562"/>
    </row>
    <row r="16" spans="1:4" ht="15">
      <c r="A16" s="28">
        <v>1</v>
      </c>
      <c r="B16" s="550" t="s">
        <v>15</v>
      </c>
      <c r="C16" s="550"/>
      <c r="D16" s="301" t="s">
        <v>230</v>
      </c>
    </row>
    <row r="17" spans="1:4" ht="15">
      <c r="A17" s="31">
        <v>2</v>
      </c>
      <c r="B17" s="550" t="s">
        <v>16</v>
      </c>
      <c r="C17" s="550"/>
      <c r="D17" s="226"/>
    </row>
    <row r="18" spans="1:4" ht="15">
      <c r="A18" s="31">
        <v>3</v>
      </c>
      <c r="B18" s="551" t="s">
        <v>17</v>
      </c>
      <c r="C18" s="551"/>
      <c r="D18" s="227">
        <v>1743.69</v>
      </c>
    </row>
    <row r="19" spans="1:4" ht="15">
      <c r="A19" s="31">
        <v>4</v>
      </c>
      <c r="B19" s="550" t="s">
        <v>18</v>
      </c>
      <c r="C19" s="550"/>
      <c r="D19" s="228">
        <v>45658</v>
      </c>
    </row>
    <row r="20" spans="1:4" ht="15">
      <c r="A20" s="14"/>
      <c r="B20" s="14"/>
      <c r="C20" s="229"/>
      <c r="D20" s="229"/>
    </row>
    <row r="21" spans="1:4" ht="15">
      <c r="A21" s="563" t="s">
        <v>93</v>
      </c>
      <c r="B21" s="563"/>
      <c r="C21" s="563"/>
      <c r="D21" s="563"/>
    </row>
    <row r="22" spans="1:4" ht="15">
      <c r="A22" s="11">
        <v>1</v>
      </c>
      <c r="B22" s="11" t="s">
        <v>19</v>
      </c>
      <c r="C22" s="256" t="s">
        <v>86</v>
      </c>
      <c r="D22" s="230" t="s">
        <v>87</v>
      </c>
    </row>
    <row r="23" spans="1:4" ht="15">
      <c r="A23" s="10" t="s">
        <v>3</v>
      </c>
      <c r="B23" s="20" t="s">
        <v>20</v>
      </c>
      <c r="C23" s="257">
        <v>1</v>
      </c>
      <c r="D23" s="185">
        <f>TRUNC(D18/30,2)</f>
        <v>58.12</v>
      </c>
    </row>
    <row r="24" spans="1:4" ht="15">
      <c r="A24" s="12" t="s">
        <v>5</v>
      </c>
      <c r="B24" s="13" t="s">
        <v>152</v>
      </c>
      <c r="C24" s="257">
        <v>0</v>
      </c>
      <c r="D24" s="184">
        <f>TRUNC((D18)*C24,2)</f>
        <v>0</v>
      </c>
    </row>
    <row r="25" spans="1:4" ht="15">
      <c r="A25" s="12" t="s">
        <v>8</v>
      </c>
      <c r="B25" s="13" t="s">
        <v>153</v>
      </c>
      <c r="C25" s="257">
        <v>0</v>
      </c>
      <c r="D25" s="184">
        <f>TRUNC((D18)*C25,2)</f>
        <v>0</v>
      </c>
    </row>
    <row r="26" spans="1:4" ht="15">
      <c r="A26" s="10" t="s">
        <v>10</v>
      </c>
      <c r="B26" s="20" t="s">
        <v>154</v>
      </c>
      <c r="C26" s="257">
        <v>0</v>
      </c>
      <c r="D26" s="185">
        <f>TRUNC((((D23+D24+D25)/220)*C26)*(D12*7),2)</f>
        <v>0</v>
      </c>
    </row>
    <row r="27" spans="1:4" ht="15">
      <c r="A27" s="10" t="s">
        <v>12</v>
      </c>
      <c r="B27" s="20" t="s">
        <v>229</v>
      </c>
      <c r="C27" s="257">
        <v>0</v>
      </c>
      <c r="D27" s="185">
        <v>0</v>
      </c>
    </row>
    <row r="28" spans="1:4" ht="15">
      <c r="A28" s="564" t="s">
        <v>84</v>
      </c>
      <c r="B28" s="565"/>
      <c r="C28" s="566"/>
      <c r="D28" s="280">
        <f>TRUNC(SUM(D23:D27),2)</f>
        <v>58.12</v>
      </c>
    </row>
    <row r="29" spans="1:4" ht="12" customHeight="1">
      <c r="A29" s="8"/>
      <c r="B29" s="8"/>
      <c r="C29" s="2"/>
      <c r="D29" s="232"/>
    </row>
    <row r="30" spans="1:4" ht="15">
      <c r="A30" s="567" t="s">
        <v>94</v>
      </c>
      <c r="B30" s="567"/>
      <c r="C30" s="567"/>
      <c r="D30" s="567"/>
    </row>
    <row r="31" spans="1:4" ht="15">
      <c r="A31" s="568" t="s">
        <v>23</v>
      </c>
      <c r="B31" s="568"/>
      <c r="C31" s="568"/>
      <c r="D31" s="568"/>
    </row>
    <row r="32" spans="1:4" s="86" customFormat="1" ht="15">
      <c r="A32" s="15" t="s">
        <v>24</v>
      </c>
      <c r="B32" s="15" t="s">
        <v>25</v>
      </c>
      <c r="C32" s="237" t="s">
        <v>86</v>
      </c>
      <c r="D32" s="233" t="s">
        <v>87</v>
      </c>
    </row>
    <row r="33" spans="1:4" s="86" customFormat="1" ht="15">
      <c r="A33" s="9" t="s">
        <v>3</v>
      </c>
      <c r="B33" s="19" t="s">
        <v>26</v>
      </c>
      <c r="C33" s="258">
        <v>8.3299999999999999E-2</v>
      </c>
      <c r="D33" s="234">
        <f>TRUNC($D28*C33,2)</f>
        <v>4.84</v>
      </c>
    </row>
    <row r="34" spans="1:4" s="86" customFormat="1" ht="15">
      <c r="A34" s="17" t="s">
        <v>5</v>
      </c>
      <c r="B34" s="18" t="s">
        <v>27</v>
      </c>
      <c r="C34" s="259">
        <v>2.7799999999999998E-2</v>
      </c>
      <c r="D34" s="234">
        <f>TRUNC(D$28*C34,2)</f>
        <v>1.61</v>
      </c>
    </row>
    <row r="35" spans="1:4" ht="15">
      <c r="A35" s="569" t="s">
        <v>85</v>
      </c>
      <c r="B35" s="569"/>
      <c r="C35" s="260">
        <f>TRUNC(SUM(C33:C34),5)</f>
        <v>0.1111</v>
      </c>
      <c r="D35" s="235">
        <f>TRUNC(SUM(D33:D34),2)</f>
        <v>6.45</v>
      </c>
    </row>
    <row r="36" spans="1:4" ht="30">
      <c r="A36" s="17" t="s">
        <v>8</v>
      </c>
      <c r="B36" s="18" t="s">
        <v>218</v>
      </c>
      <c r="C36" s="259">
        <f>C35*C49</f>
        <v>4.4217800000000002E-2</v>
      </c>
      <c r="D36" s="234">
        <f>TRUNC(D$28*C36,2)</f>
        <v>2.56</v>
      </c>
    </row>
    <row r="37" spans="1:4" ht="15">
      <c r="A37" s="569" t="s">
        <v>28</v>
      </c>
      <c r="B37" s="569"/>
      <c r="C37" s="260">
        <f>TRUNC(SUM(C35:C36),5)</f>
        <v>0.15531</v>
      </c>
      <c r="D37" s="236">
        <f>TRUNC(SUM(D35:D36),2)</f>
        <v>9.01</v>
      </c>
    </row>
    <row r="38" spans="1:4" ht="15">
      <c r="A38" s="14"/>
      <c r="B38" s="14"/>
      <c r="C38" s="229"/>
      <c r="D38" s="229"/>
    </row>
    <row r="39" spans="1:4" ht="15">
      <c r="A39" s="570" t="s">
        <v>29</v>
      </c>
      <c r="B39" s="570"/>
      <c r="C39" s="570"/>
      <c r="D39" s="570"/>
    </row>
    <row r="40" spans="1:4" ht="15">
      <c r="A40" s="16" t="s">
        <v>30</v>
      </c>
      <c r="B40" s="23" t="s">
        <v>31</v>
      </c>
      <c r="C40" s="237" t="s">
        <v>86</v>
      </c>
      <c r="D40" s="237" t="s">
        <v>87</v>
      </c>
    </row>
    <row r="41" spans="1:4" ht="15">
      <c r="A41" s="22" t="s">
        <v>3</v>
      </c>
      <c r="B41" s="19" t="s">
        <v>32</v>
      </c>
      <c r="C41" s="261">
        <f>MC!D17</f>
        <v>0.2</v>
      </c>
      <c r="D41" s="234">
        <f>TRUNC(D$28*C41,2)</f>
        <v>11.62</v>
      </c>
    </row>
    <row r="42" spans="1:4" ht="15">
      <c r="A42" s="22" t="s">
        <v>5</v>
      </c>
      <c r="B42" s="19" t="s">
        <v>33</v>
      </c>
      <c r="C42" s="261">
        <f>MC!D18</f>
        <v>2.5000000000000001E-2</v>
      </c>
      <c r="D42" s="234">
        <f t="shared" ref="D42:D48" si="0">TRUNC(D$28*C42,2)</f>
        <v>1.45</v>
      </c>
    </row>
    <row r="43" spans="1:4" ht="15">
      <c r="A43" s="22" t="s">
        <v>8</v>
      </c>
      <c r="B43" s="19" t="s">
        <v>34</v>
      </c>
      <c r="C43" s="261">
        <f>MC!D19</f>
        <v>0.06</v>
      </c>
      <c r="D43" s="234">
        <f>TRUNC(D$28*C43,2)</f>
        <v>3.48</v>
      </c>
    </row>
    <row r="44" spans="1:4" ht="15">
      <c r="A44" s="22" t="s">
        <v>10</v>
      </c>
      <c r="B44" s="19" t="s">
        <v>35</v>
      </c>
      <c r="C44" s="261">
        <f>MC!D21</f>
        <v>1.4999999999999999E-2</v>
      </c>
      <c r="D44" s="234">
        <f t="shared" si="0"/>
        <v>0.87</v>
      </c>
    </row>
    <row r="45" spans="1:4" ht="15">
      <c r="A45" s="22" t="s">
        <v>12</v>
      </c>
      <c r="B45" s="19" t="s">
        <v>36</v>
      </c>
      <c r="C45" s="261">
        <f>MC!D22</f>
        <v>0.01</v>
      </c>
      <c r="D45" s="234">
        <f t="shared" si="0"/>
        <v>0.57999999999999996</v>
      </c>
    </row>
    <row r="46" spans="1:4" ht="15">
      <c r="A46" s="22" t="s">
        <v>21</v>
      </c>
      <c r="B46" s="19" t="s">
        <v>37</v>
      </c>
      <c r="C46" s="261">
        <f>MC!D23</f>
        <v>6.0000000000000001E-3</v>
      </c>
      <c r="D46" s="234">
        <f t="shared" si="0"/>
        <v>0.34</v>
      </c>
    </row>
    <row r="47" spans="1:4" ht="15">
      <c r="A47" s="22" t="s">
        <v>22</v>
      </c>
      <c r="B47" s="19" t="s">
        <v>38</v>
      </c>
      <c r="C47" s="261">
        <f>MC!D24</f>
        <v>2E-3</v>
      </c>
      <c r="D47" s="234">
        <f t="shared" si="0"/>
        <v>0.11</v>
      </c>
    </row>
    <row r="48" spans="1:4" ht="15">
      <c r="A48" s="22" t="s">
        <v>39</v>
      </c>
      <c r="B48" s="19" t="s">
        <v>40</v>
      </c>
      <c r="C48" s="261">
        <f>MC!D25</f>
        <v>0.08</v>
      </c>
      <c r="D48" s="234">
        <f t="shared" si="0"/>
        <v>4.6399999999999997</v>
      </c>
    </row>
    <row r="49" spans="1:4" ht="15">
      <c r="A49" s="571" t="s">
        <v>41</v>
      </c>
      <c r="B49" s="571"/>
      <c r="C49" s="262">
        <f>TRUNC(SUM(C41:C48),5)</f>
        <v>0.39800000000000002</v>
      </c>
      <c r="D49" s="238">
        <f>TRUNC(SUM(D41:D48),2)</f>
        <v>23.09</v>
      </c>
    </row>
    <row r="50" spans="1:4" ht="15">
      <c r="A50" s="7"/>
      <c r="B50" s="7"/>
      <c r="C50" s="4"/>
      <c r="D50" s="232"/>
    </row>
    <row r="51" spans="1:4" ht="15">
      <c r="A51" s="570" t="s">
        <v>42</v>
      </c>
      <c r="B51" s="570"/>
      <c r="C51" s="570"/>
      <c r="D51" s="570"/>
    </row>
    <row r="52" spans="1:4" ht="15">
      <c r="A52" s="16" t="s">
        <v>43</v>
      </c>
      <c r="B52" s="572" t="s">
        <v>44</v>
      </c>
      <c r="C52" s="573"/>
      <c r="D52" s="239" t="s">
        <v>87</v>
      </c>
    </row>
    <row r="53" spans="1:4" ht="15">
      <c r="A53" s="26" t="s">
        <v>3</v>
      </c>
      <c r="B53" s="25" t="s">
        <v>88</v>
      </c>
      <c r="C53" s="182">
        <f>(5.5+3.5)*2</f>
        <v>18</v>
      </c>
      <c r="D53" s="180">
        <f>TRUNC((C53)-(D23*6%),2)</f>
        <v>14.51</v>
      </c>
    </row>
    <row r="54" spans="1:4" ht="15">
      <c r="A54" s="26" t="s">
        <v>5</v>
      </c>
      <c r="B54" s="25" t="s">
        <v>89</v>
      </c>
      <c r="C54" s="263">
        <f>MC!C34</f>
        <v>44.3</v>
      </c>
      <c r="D54" s="180">
        <f>C54</f>
        <v>44.3</v>
      </c>
    </row>
    <row r="55" spans="1:4" ht="15">
      <c r="A55" s="26" t="s">
        <v>8</v>
      </c>
      <c r="B55" s="25" t="s">
        <v>217</v>
      </c>
      <c r="C55" s="182">
        <f>MC!C41</f>
        <v>200</v>
      </c>
      <c r="D55" s="181">
        <f>TRUNC(C55/30,2)</f>
        <v>6.66</v>
      </c>
    </row>
    <row r="56" spans="1:4" ht="15">
      <c r="A56" s="26" t="s">
        <v>10</v>
      </c>
      <c r="B56" s="25" t="s">
        <v>90</v>
      </c>
      <c r="C56" s="182">
        <f>MC!C47</f>
        <v>13.64</v>
      </c>
      <c r="D56" s="181">
        <f t="shared" ref="D56:D57" si="1">TRUNC(C56/30,2)</f>
        <v>0.45</v>
      </c>
    </row>
    <row r="57" spans="1:4" ht="15">
      <c r="A57" s="17" t="s">
        <v>45</v>
      </c>
      <c r="B57" s="34" t="s">
        <v>162</v>
      </c>
      <c r="C57" s="264">
        <f>MC!C53</f>
        <v>3.61</v>
      </c>
      <c r="D57" s="181">
        <f t="shared" si="1"/>
        <v>0.12</v>
      </c>
    </row>
    <row r="58" spans="1:4" ht="15">
      <c r="A58" s="17" t="s">
        <v>469</v>
      </c>
      <c r="B58" s="34" t="s">
        <v>470</v>
      </c>
      <c r="C58" s="264">
        <v>0</v>
      </c>
      <c r="D58" s="181">
        <f>TRUNC(C58,2)</f>
        <v>0</v>
      </c>
    </row>
    <row r="59" spans="1:4" ht="15">
      <c r="A59" s="569" t="s">
        <v>41</v>
      </c>
      <c r="B59" s="569"/>
      <c r="C59" s="569"/>
      <c r="D59" s="231">
        <f>TRUNC(SUM(D53:D58),2)</f>
        <v>66.040000000000006</v>
      </c>
    </row>
    <row r="60" spans="1:4" ht="15">
      <c r="A60" s="8"/>
      <c r="B60" s="8"/>
      <c r="C60" s="2"/>
      <c r="D60" s="232"/>
    </row>
    <row r="61" spans="1:4" ht="15">
      <c r="A61" s="567" t="s">
        <v>46</v>
      </c>
      <c r="B61" s="567"/>
      <c r="C61" s="567"/>
      <c r="D61" s="567"/>
    </row>
    <row r="62" spans="1:4" ht="15">
      <c r="A62" s="11">
        <v>2</v>
      </c>
      <c r="B62" s="574" t="s">
        <v>47</v>
      </c>
      <c r="C62" s="574"/>
      <c r="D62" s="230" t="s">
        <v>87</v>
      </c>
    </row>
    <row r="63" spans="1:4" ht="15">
      <c r="A63" s="10" t="s">
        <v>24</v>
      </c>
      <c r="B63" s="575" t="s">
        <v>25</v>
      </c>
      <c r="C63" s="575"/>
      <c r="D63" s="240">
        <f>TRUNC(D37,2)</f>
        <v>9.01</v>
      </c>
    </row>
    <row r="64" spans="1:4" ht="15">
      <c r="A64" s="10" t="s">
        <v>30</v>
      </c>
      <c r="B64" s="575" t="s">
        <v>31</v>
      </c>
      <c r="C64" s="575"/>
      <c r="D64" s="240">
        <f>TRUNC(D49,2)</f>
        <v>23.09</v>
      </c>
    </row>
    <row r="65" spans="1:4" ht="15">
      <c r="A65" s="10" t="s">
        <v>43</v>
      </c>
      <c r="B65" s="575" t="s">
        <v>44</v>
      </c>
      <c r="C65" s="575"/>
      <c r="D65" s="240">
        <f>TRUNC(D59,2)</f>
        <v>66.040000000000006</v>
      </c>
    </row>
    <row r="66" spans="1:4" ht="15">
      <c r="A66" s="576" t="s">
        <v>48</v>
      </c>
      <c r="B66" s="576"/>
      <c r="C66" s="576"/>
      <c r="D66" s="279">
        <f>TRUNC(SUM(D63:D65),2)</f>
        <v>98.14</v>
      </c>
    </row>
    <row r="67" spans="1:4" ht="15">
      <c r="A67" s="8"/>
      <c r="B67" s="8"/>
      <c r="C67" s="2"/>
      <c r="D67" s="232"/>
    </row>
    <row r="68" spans="1:4" ht="15">
      <c r="A68" s="577" t="s">
        <v>49</v>
      </c>
      <c r="B68" s="577"/>
      <c r="C68" s="577"/>
      <c r="D68" s="577"/>
    </row>
    <row r="69" spans="1:4" ht="15">
      <c r="A69" s="11">
        <v>3</v>
      </c>
      <c r="B69" s="11" t="s">
        <v>50</v>
      </c>
      <c r="C69" s="230" t="s">
        <v>86</v>
      </c>
      <c r="D69" s="230" t="s">
        <v>87</v>
      </c>
    </row>
    <row r="70" spans="1:4" ht="15">
      <c r="A70" s="21" t="s">
        <v>3</v>
      </c>
      <c r="B70" s="35" t="s">
        <v>51</v>
      </c>
      <c r="C70" s="265">
        <f>MC!D67</f>
        <v>8.3000000000000001E-3</v>
      </c>
      <c r="D70" s="234">
        <f>TRUNC(D$28*C70,2)</f>
        <v>0.48</v>
      </c>
    </row>
    <row r="71" spans="1:4" ht="15">
      <c r="A71" s="26" t="s">
        <v>5</v>
      </c>
      <c r="B71" s="19" t="s">
        <v>52</v>
      </c>
      <c r="C71" s="265">
        <f>MC!D68</f>
        <v>5.9999999999999995E-4</v>
      </c>
      <c r="D71" s="234">
        <f t="shared" ref="D71:D74" si="2">TRUNC(D$28*C71,2)</f>
        <v>0.03</v>
      </c>
    </row>
    <row r="72" spans="1:4" ht="15">
      <c r="A72" s="26" t="s">
        <v>8</v>
      </c>
      <c r="B72" s="19" t="s">
        <v>53</v>
      </c>
      <c r="C72" s="265">
        <v>0.4</v>
      </c>
      <c r="D72" s="234">
        <f>0.4*0.08*0.1*(D28+D33+D34)</f>
        <v>0.20662399999999997</v>
      </c>
    </row>
    <row r="73" spans="1:4" ht="15">
      <c r="A73" s="26" t="s">
        <v>10</v>
      </c>
      <c r="B73" s="19" t="s">
        <v>122</v>
      </c>
      <c r="C73" s="265">
        <f>MC!D70</f>
        <v>1.9400000000000001E-2</v>
      </c>
      <c r="D73" s="234">
        <f t="shared" si="2"/>
        <v>1.1200000000000001</v>
      </c>
    </row>
    <row r="74" spans="1:4" ht="30">
      <c r="A74" s="26" t="s">
        <v>12</v>
      </c>
      <c r="B74" s="19" t="s">
        <v>91</v>
      </c>
      <c r="C74" s="265">
        <f>MC!D71</f>
        <v>7.7000000000000002E-3</v>
      </c>
      <c r="D74" s="234">
        <f t="shared" si="2"/>
        <v>0.44</v>
      </c>
    </row>
    <row r="75" spans="1:4" ht="15">
      <c r="A75" s="39" t="s">
        <v>21</v>
      </c>
      <c r="B75" s="18" t="s">
        <v>54</v>
      </c>
      <c r="C75" s="273">
        <v>0.4</v>
      </c>
      <c r="D75" s="274">
        <f>0.08*0.4*(D28+D33+D34)</f>
        <v>2.0662399999999996</v>
      </c>
    </row>
    <row r="76" spans="1:4" ht="15">
      <c r="A76" s="578" t="s">
        <v>41</v>
      </c>
      <c r="B76" s="578"/>
      <c r="C76" s="276">
        <f>TRUNC(SUM(C70:C75),5)</f>
        <v>0.83599999999999997</v>
      </c>
      <c r="D76" s="277">
        <f>TRUNC(SUM(D70:D75),2)</f>
        <v>4.34</v>
      </c>
    </row>
    <row r="77" spans="1:4" ht="15">
      <c r="A77" s="36"/>
      <c r="B77" s="36"/>
      <c r="C77" s="241"/>
      <c r="D77" s="241"/>
    </row>
    <row r="78" spans="1:4" ht="15">
      <c r="A78" s="579" t="s">
        <v>55</v>
      </c>
      <c r="B78" s="579"/>
      <c r="C78" s="579"/>
      <c r="D78" s="579"/>
    </row>
    <row r="79" spans="1:4" ht="15">
      <c r="A79" s="580" t="s">
        <v>56</v>
      </c>
      <c r="B79" s="580"/>
      <c r="C79" s="580"/>
      <c r="D79" s="580"/>
    </row>
    <row r="80" spans="1:4" ht="15">
      <c r="A80" s="37" t="s">
        <v>57</v>
      </c>
      <c r="B80" s="37" t="s">
        <v>58</v>
      </c>
      <c r="C80" s="242" t="s">
        <v>86</v>
      </c>
      <c r="D80" s="242" t="s">
        <v>87</v>
      </c>
    </row>
    <row r="81" spans="1:4" ht="15">
      <c r="A81" s="10" t="s">
        <v>3</v>
      </c>
      <c r="B81" s="38" t="s">
        <v>59</v>
      </c>
      <c r="C81" s="266">
        <f>MC!D77</f>
        <v>8.3299999999999999E-2</v>
      </c>
      <c r="D81" s="234">
        <f>TRUNC(D$28*C81,2)</f>
        <v>4.84</v>
      </c>
    </row>
    <row r="82" spans="1:4" ht="15">
      <c r="A82" s="10" t="s">
        <v>5</v>
      </c>
      <c r="B82" s="38" t="s">
        <v>60</v>
      </c>
      <c r="C82" s="266">
        <f>MC!D78</f>
        <v>1.3899999999999999E-2</v>
      </c>
      <c r="D82" s="234">
        <f t="shared" ref="D82:D83" si="3">TRUNC(D$28*C82,2)</f>
        <v>0.8</v>
      </c>
    </row>
    <row r="83" spans="1:4" ht="15">
      <c r="A83" s="10" t="s">
        <v>8</v>
      </c>
      <c r="B83" s="38" t="s">
        <v>61</v>
      </c>
      <c r="C83" s="266">
        <f>MC!D79</f>
        <v>6.9999999999999999E-4</v>
      </c>
      <c r="D83" s="234">
        <f t="shared" si="3"/>
        <v>0.04</v>
      </c>
    </row>
    <row r="84" spans="1:4" ht="15">
      <c r="A84" s="10" t="s">
        <v>10</v>
      </c>
      <c r="B84" s="38" t="s">
        <v>62</v>
      </c>
      <c r="C84" s="266">
        <f>MC!D80</f>
        <v>8.3333333333333332E-3</v>
      </c>
      <c r="D84" s="234">
        <f>TRUNC(D$28*C84,2)</f>
        <v>0.48</v>
      </c>
    </row>
    <row r="85" spans="1:4" ht="15">
      <c r="A85" s="83" t="s">
        <v>12</v>
      </c>
      <c r="B85" s="84" t="s">
        <v>63</v>
      </c>
      <c r="C85" s="266">
        <f>MC!D81</f>
        <v>3.7037037037037035E-4</v>
      </c>
      <c r="D85" s="234">
        <f>TRUNC(D$28*C85,2)</f>
        <v>0.02</v>
      </c>
    </row>
    <row r="86" spans="1:4" ht="15">
      <c r="A86" s="581" t="s">
        <v>155</v>
      </c>
      <c r="B86" s="581"/>
      <c r="C86" s="260">
        <f>TRUNC(SUM(C81:C85),5)</f>
        <v>0.1066</v>
      </c>
      <c r="D86" s="236">
        <f>TRUNC(SUM(D81:D85),2)</f>
        <v>6.18</v>
      </c>
    </row>
    <row r="87" spans="1:4" ht="15">
      <c r="A87" s="10" t="s">
        <v>21</v>
      </c>
      <c r="B87" s="38" t="s">
        <v>219</v>
      </c>
      <c r="C87" s="266">
        <f>C86*C49</f>
        <v>4.2426800000000001E-2</v>
      </c>
      <c r="D87" s="240">
        <f>TRUNC(D$28*C87,2)</f>
        <v>2.46</v>
      </c>
    </row>
    <row r="88" spans="1:4" ht="15">
      <c r="A88" s="581" t="s">
        <v>41</v>
      </c>
      <c r="B88" s="581"/>
      <c r="C88" s="260">
        <f>TRUNC(SUM(C86:C87),5)</f>
        <v>0.14902000000000001</v>
      </c>
      <c r="D88" s="236">
        <f>TRUNC(SUM(D86:D87),2)</f>
        <v>8.64</v>
      </c>
    </row>
    <row r="89" spans="1:4" ht="15">
      <c r="A89" s="7"/>
      <c r="B89" s="7"/>
      <c r="C89" s="4"/>
      <c r="D89" s="232"/>
    </row>
    <row r="90" spans="1:4" ht="15">
      <c r="A90" s="582" t="s">
        <v>64</v>
      </c>
      <c r="B90" s="582"/>
      <c r="C90" s="582"/>
      <c r="D90" s="582"/>
    </row>
    <row r="91" spans="1:4" ht="15">
      <c r="A91" s="16" t="s">
        <v>65</v>
      </c>
      <c r="B91" s="16" t="s">
        <v>66</v>
      </c>
      <c r="C91" s="237" t="s">
        <v>86</v>
      </c>
      <c r="D91" s="237" t="s">
        <v>87</v>
      </c>
    </row>
    <row r="92" spans="1:4" ht="30">
      <c r="A92" s="39" t="s">
        <v>3</v>
      </c>
      <c r="B92" s="18" t="s">
        <v>67</v>
      </c>
      <c r="C92" s="267">
        <v>0</v>
      </c>
      <c r="D92" s="243">
        <v>0</v>
      </c>
    </row>
    <row r="93" spans="1:4" ht="15">
      <c r="A93" s="581" t="s">
        <v>41</v>
      </c>
      <c r="B93" s="581"/>
      <c r="C93" s="268">
        <f>TRUNC(SUM(C92),4)</f>
        <v>0</v>
      </c>
      <c r="D93" s="244">
        <f>TRUNC(D92,2)</f>
        <v>0</v>
      </c>
    </row>
    <row r="94" spans="1:4" ht="15">
      <c r="A94" s="8"/>
      <c r="B94" s="8"/>
      <c r="C94" s="2"/>
      <c r="D94" s="232"/>
    </row>
    <row r="95" spans="1:4" ht="15">
      <c r="A95" s="579" t="s">
        <v>68</v>
      </c>
      <c r="B95" s="579"/>
      <c r="C95" s="579"/>
      <c r="D95" s="579"/>
    </row>
    <row r="96" spans="1:4" ht="15">
      <c r="A96" s="11">
        <v>4</v>
      </c>
      <c r="B96" s="581" t="s">
        <v>69</v>
      </c>
      <c r="C96" s="581"/>
      <c r="D96" s="230" t="s">
        <v>87</v>
      </c>
    </row>
    <row r="97" spans="1:4" ht="15">
      <c r="A97" s="88" t="s">
        <v>57</v>
      </c>
      <c r="B97" s="575" t="s">
        <v>58</v>
      </c>
      <c r="C97" s="575"/>
      <c r="D97" s="245">
        <f>TRUNC(D88,2)</f>
        <v>8.64</v>
      </c>
    </row>
    <row r="98" spans="1:4" ht="15">
      <c r="A98" s="88" t="s">
        <v>65</v>
      </c>
      <c r="B98" s="575" t="s">
        <v>66</v>
      </c>
      <c r="C98" s="575"/>
      <c r="D98" s="246">
        <v>0</v>
      </c>
    </row>
    <row r="99" spans="1:4" ht="15">
      <c r="A99" s="583" t="s">
        <v>41</v>
      </c>
      <c r="B99" s="583"/>
      <c r="C99" s="583"/>
      <c r="D99" s="272">
        <f>TRUNC(SUM(D97:D98),2)</f>
        <v>8.64</v>
      </c>
    </row>
    <row r="100" spans="1:4" ht="15">
      <c r="A100" s="8"/>
      <c r="B100" s="8"/>
      <c r="C100" s="2"/>
      <c r="D100" s="232"/>
    </row>
    <row r="101" spans="1:4" ht="15">
      <c r="A101" s="584" t="s">
        <v>80</v>
      </c>
      <c r="B101" s="584"/>
      <c r="C101" s="584"/>
      <c r="D101" s="584"/>
    </row>
    <row r="102" spans="1:4" ht="15">
      <c r="A102" s="41">
        <v>5</v>
      </c>
      <c r="B102" s="585" t="s">
        <v>92</v>
      </c>
      <c r="C102" s="586"/>
      <c r="D102" s="247" t="s">
        <v>87</v>
      </c>
    </row>
    <row r="103" spans="1:4" ht="15">
      <c r="A103" s="40" t="s">
        <v>3</v>
      </c>
      <c r="B103" s="587" t="s">
        <v>157</v>
      </c>
      <c r="C103" s="587"/>
      <c r="D103" s="181">
        <f>TRUNC(Unif_Equip!E30/30,2)</f>
        <v>1.99</v>
      </c>
    </row>
    <row r="104" spans="1:4" ht="15">
      <c r="A104" s="40" t="s">
        <v>5</v>
      </c>
      <c r="B104" s="587" t="s">
        <v>158</v>
      </c>
      <c r="C104" s="587"/>
      <c r="D104" s="181"/>
    </row>
    <row r="105" spans="1:4" ht="15">
      <c r="A105" s="40" t="s">
        <v>8</v>
      </c>
      <c r="B105" s="588" t="s">
        <v>159</v>
      </c>
      <c r="C105" s="589"/>
      <c r="D105" s="181"/>
    </row>
    <row r="106" spans="1:4" ht="15">
      <c r="A106" s="40" t="s">
        <v>12</v>
      </c>
      <c r="B106" s="588" t="s">
        <v>151</v>
      </c>
      <c r="C106" s="589"/>
      <c r="D106" s="181"/>
    </row>
    <row r="107" spans="1:4" ht="15">
      <c r="A107" s="590" t="s">
        <v>41</v>
      </c>
      <c r="B107" s="590"/>
      <c r="C107" s="590"/>
      <c r="D107" s="289">
        <f>TRUNC(SUM(D103:D106),2)</f>
        <v>1.99</v>
      </c>
    </row>
    <row r="108" spans="1:4" ht="15">
      <c r="A108" s="8"/>
      <c r="B108" s="8"/>
      <c r="C108" s="2"/>
      <c r="D108" s="3"/>
    </row>
    <row r="109" spans="1:4" ht="15">
      <c r="A109" s="591" t="s">
        <v>95</v>
      </c>
      <c r="B109" s="591"/>
      <c r="C109" s="591"/>
      <c r="D109" s="591"/>
    </row>
    <row r="110" spans="1:4" ht="15">
      <c r="A110" s="11">
        <v>6</v>
      </c>
      <c r="B110" s="42" t="s">
        <v>70</v>
      </c>
      <c r="C110" s="230" t="s">
        <v>86</v>
      </c>
      <c r="D110" s="230" t="s">
        <v>87</v>
      </c>
    </row>
    <row r="111" spans="1:4" ht="15">
      <c r="A111" s="10" t="s">
        <v>3</v>
      </c>
      <c r="B111" s="38" t="s">
        <v>71</v>
      </c>
      <c r="C111" s="269">
        <v>0.03</v>
      </c>
      <c r="D111" s="240">
        <f>TRUNC((D121+D122+D123+D124+D125)*C111,2)</f>
        <v>5.13</v>
      </c>
    </row>
    <row r="112" spans="1:4" ht="15">
      <c r="A112" s="10" t="s">
        <v>5</v>
      </c>
      <c r="B112" s="38" t="s">
        <v>72</v>
      </c>
      <c r="C112" s="269">
        <v>6.7900000000000002E-2</v>
      </c>
      <c r="D112" s="240">
        <f>TRUNC((D121+D122+D123+D124+D125+D111)*C112,2)</f>
        <v>11.97</v>
      </c>
    </row>
    <row r="113" spans="1:4" ht="15">
      <c r="A113" s="11" t="s">
        <v>8</v>
      </c>
      <c r="B113" s="43" t="s">
        <v>73</v>
      </c>
      <c r="C113" s="270">
        <f>TRUNC(SUM(C114:C116),4)</f>
        <v>0.14249999999999999</v>
      </c>
      <c r="D113" s="248"/>
    </row>
    <row r="114" spans="1:4" ht="15">
      <c r="A114" s="10"/>
      <c r="B114" s="38" t="s">
        <v>458</v>
      </c>
      <c r="C114" s="269">
        <f>MC!$C$95</f>
        <v>1.6500000000000001E-2</v>
      </c>
      <c r="D114" s="240">
        <f>TRUNC(((D$126+D$111+D$112)/(1-(C$113)))*C114,2)</f>
        <v>3.62</v>
      </c>
    </row>
    <row r="115" spans="1:4" ht="15">
      <c r="A115" s="10"/>
      <c r="B115" s="38" t="s">
        <v>459</v>
      </c>
      <c r="C115" s="269">
        <f>MC!$C$94</f>
        <v>7.5999999999999998E-2</v>
      </c>
      <c r="D115" s="240">
        <f>TRUNC(((D$126+D$111+D$112)/(1-(C$113)))*C115,2)</f>
        <v>16.690000000000001</v>
      </c>
    </row>
    <row r="116" spans="1:4" ht="15">
      <c r="A116" s="38"/>
      <c r="B116" s="38" t="s">
        <v>460</v>
      </c>
      <c r="C116" s="269">
        <f>MC!$C$93</f>
        <v>0.05</v>
      </c>
      <c r="D116" s="240">
        <f>TRUNC(((D$126+D$111+D$112)/(1-(C$113)))*C116,2)</f>
        <v>10.98</v>
      </c>
    </row>
    <row r="117" spans="1:4" ht="15">
      <c r="A117" s="594" t="s">
        <v>75</v>
      </c>
      <c r="B117" s="594"/>
      <c r="C117" s="594"/>
      <c r="D117" s="288">
        <f>TRUNC((D111+D112+D114+D115+D116),2)</f>
        <v>48.39</v>
      </c>
    </row>
    <row r="118" spans="1:4" ht="15">
      <c r="A118" s="33"/>
      <c r="B118" s="33"/>
      <c r="C118" s="255"/>
      <c r="D118" s="3"/>
    </row>
    <row r="119" spans="1:4" ht="15">
      <c r="A119" s="595" t="s">
        <v>76</v>
      </c>
      <c r="B119" s="595"/>
      <c r="C119" s="595"/>
      <c r="D119" s="595"/>
    </row>
    <row r="120" spans="1:4" ht="15">
      <c r="A120" s="596" t="s">
        <v>77</v>
      </c>
      <c r="B120" s="597"/>
      <c r="C120" s="598"/>
      <c r="D120" s="230" t="s">
        <v>87</v>
      </c>
    </row>
    <row r="121" spans="1:4" ht="15">
      <c r="A121" s="281" t="s">
        <v>3</v>
      </c>
      <c r="B121" s="599" t="s">
        <v>78</v>
      </c>
      <c r="C121" s="599"/>
      <c r="D121" s="282">
        <f>TRUNC(D28,2)</f>
        <v>58.12</v>
      </c>
    </row>
    <row r="122" spans="1:4" ht="15">
      <c r="A122" s="278" t="s">
        <v>5</v>
      </c>
      <c r="B122" s="600" t="s">
        <v>79</v>
      </c>
      <c r="C122" s="600"/>
      <c r="D122" s="283">
        <f>TRUNC(D66,2)</f>
        <v>98.14</v>
      </c>
    </row>
    <row r="123" spans="1:4" ht="15">
      <c r="A123" s="275" t="s">
        <v>8</v>
      </c>
      <c r="B123" s="601" t="s">
        <v>49</v>
      </c>
      <c r="C123" s="601"/>
      <c r="D123" s="284">
        <f>TRUNC(D76,2)</f>
        <v>4.34</v>
      </c>
    </row>
    <row r="124" spans="1:4" ht="15">
      <c r="A124" s="271" t="s">
        <v>10</v>
      </c>
      <c r="B124" s="602" t="s">
        <v>55</v>
      </c>
      <c r="C124" s="602"/>
      <c r="D124" s="285">
        <f>TRUNC(D99,2)</f>
        <v>8.64</v>
      </c>
    </row>
    <row r="125" spans="1:4" ht="15">
      <c r="A125" s="290" t="s">
        <v>12</v>
      </c>
      <c r="B125" s="592" t="s">
        <v>80</v>
      </c>
      <c r="C125" s="592"/>
      <c r="D125" s="291">
        <f>TRUNC(D107,2)</f>
        <v>1.99</v>
      </c>
    </row>
    <row r="126" spans="1:4" ht="15">
      <c r="A126" s="581" t="s">
        <v>81</v>
      </c>
      <c r="B126" s="581"/>
      <c r="C126" s="581"/>
      <c r="D126" s="236">
        <f>TRUNC(SUM(D121:D125),2)</f>
        <v>171.23</v>
      </c>
    </row>
    <row r="127" spans="1:4" ht="15">
      <c r="A127" s="286" t="s">
        <v>21</v>
      </c>
      <c r="B127" s="593" t="s">
        <v>82</v>
      </c>
      <c r="C127" s="593"/>
      <c r="D127" s="287">
        <f>TRUNC(D117,2)</f>
        <v>48.39</v>
      </c>
    </row>
    <row r="128" spans="1:4" ht="18.75">
      <c r="A128" s="549" t="s">
        <v>83</v>
      </c>
      <c r="B128" s="549"/>
      <c r="C128" s="549"/>
      <c r="D128" s="292">
        <f>TRUNC(D126+D127,2)</f>
        <v>219.62</v>
      </c>
    </row>
    <row r="131" spans="1:4">
      <c r="A131" s="183"/>
      <c r="D131" s="250"/>
    </row>
  </sheetData>
  <sheetProtection selectLockedCells="1" selectUnlockedCells="1"/>
  <mergeCells count="61">
    <mergeCell ref="B18:C18"/>
    <mergeCell ref="B19:C19"/>
    <mergeCell ref="A6:D6"/>
    <mergeCell ref="C9:D9"/>
    <mergeCell ref="A15:D15"/>
    <mergeCell ref="B16:C16"/>
    <mergeCell ref="B17:C17"/>
    <mergeCell ref="A1:D1"/>
    <mergeCell ref="A3:B3"/>
    <mergeCell ref="C3:D3"/>
    <mergeCell ref="A4:B4"/>
    <mergeCell ref="C4:D4"/>
    <mergeCell ref="A21:D21"/>
    <mergeCell ref="A28:C28"/>
    <mergeCell ref="A30:D30"/>
    <mergeCell ref="A31:D31"/>
    <mergeCell ref="A35:B35"/>
    <mergeCell ref="A37:B37"/>
    <mergeCell ref="A39:D39"/>
    <mergeCell ref="A49:B49"/>
    <mergeCell ref="A51:D51"/>
    <mergeCell ref="B52:C52"/>
    <mergeCell ref="A59:C59"/>
    <mergeCell ref="A61:D61"/>
    <mergeCell ref="B62:C62"/>
    <mergeCell ref="B63:C63"/>
    <mergeCell ref="B64:C64"/>
    <mergeCell ref="B65:C65"/>
    <mergeCell ref="A66:C66"/>
    <mergeCell ref="A68:D68"/>
    <mergeCell ref="A76:B76"/>
    <mergeCell ref="A78:D78"/>
    <mergeCell ref="A79:D79"/>
    <mergeCell ref="A86:B86"/>
    <mergeCell ref="A88:B88"/>
    <mergeCell ref="A90:D90"/>
    <mergeCell ref="A93:B93"/>
    <mergeCell ref="A95:D95"/>
    <mergeCell ref="B96:C96"/>
    <mergeCell ref="B97:C97"/>
    <mergeCell ref="B98:C98"/>
    <mergeCell ref="A99:C99"/>
    <mergeCell ref="A101:D101"/>
    <mergeCell ref="B102:C102"/>
    <mergeCell ref="B103:C103"/>
    <mergeCell ref="B104:C104"/>
    <mergeCell ref="B105:C105"/>
    <mergeCell ref="B106:C106"/>
    <mergeCell ref="A107:C107"/>
    <mergeCell ref="A109:D109"/>
    <mergeCell ref="A117:C117"/>
    <mergeCell ref="A119:D119"/>
    <mergeCell ref="B125:C125"/>
    <mergeCell ref="A126:C126"/>
    <mergeCell ref="B127:C127"/>
    <mergeCell ref="A128:C128"/>
    <mergeCell ref="A120:C120"/>
    <mergeCell ref="B121:C121"/>
    <mergeCell ref="B122:C122"/>
    <mergeCell ref="B123:C123"/>
    <mergeCell ref="B124:C124"/>
  </mergeCells>
  <conditionalFormatting sqref="D53">
    <cfRule type="cellIs" dxfId="2" priority="1" operator="lessThan">
      <formula>0</formula>
    </cfRule>
  </conditionalFormatting>
  <pageMargins left="0.19685039370078741" right="0.19685039370078741" top="0.98425196850393704" bottom="0.78740157480314965" header="0.31496062992125984" footer="0.31496062992125984"/>
  <pageSetup paperSize="9" scale="92" firstPageNumber="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006C9-B0CB-4094-A913-65CE101FC40A}">
  <sheetPr>
    <tabColor theme="9" tint="0.79998168889431442"/>
    <pageSetUpPr fitToPage="1"/>
  </sheetPr>
  <dimension ref="A1:D131"/>
  <sheetViews>
    <sheetView zoomScaleNormal="100" zoomScaleSheetLayoutView="100" workbookViewId="0">
      <selection activeCell="C9" sqref="C9:D9"/>
    </sheetView>
  </sheetViews>
  <sheetFormatPr defaultRowHeight="12"/>
  <cols>
    <col min="1" max="1" width="11" style="1" customWidth="1"/>
    <col min="2" max="2" width="59" style="1" customWidth="1"/>
    <col min="3" max="3" width="15.7109375" style="249" customWidth="1"/>
    <col min="4" max="4" width="22.5703125" style="249" customWidth="1"/>
    <col min="5" max="16384" width="9.140625" style="1"/>
  </cols>
  <sheetData>
    <row r="1" spans="1:4" ht="33" customHeight="1">
      <c r="A1" s="645" t="s">
        <v>1</v>
      </c>
      <c r="B1" s="645"/>
      <c r="C1" s="645"/>
      <c r="D1" s="645"/>
    </row>
    <row r="2" spans="1:4" ht="15">
      <c r="A2" s="4"/>
      <c r="B2" s="4"/>
      <c r="C2" s="4"/>
      <c r="D2" s="5"/>
    </row>
    <row r="3" spans="1:4" ht="15">
      <c r="A3" s="553" t="s">
        <v>388</v>
      </c>
      <c r="B3" s="554"/>
      <c r="C3" s="555" t="s">
        <v>371</v>
      </c>
      <c r="D3" s="556"/>
    </row>
    <row r="4" spans="1:4" ht="15">
      <c r="A4" s="553" t="s">
        <v>389</v>
      </c>
      <c r="B4" s="554"/>
      <c r="C4" s="555"/>
      <c r="D4" s="556"/>
    </row>
    <row r="5" spans="1:4" ht="15">
      <c r="A5" s="6"/>
      <c r="B5" s="6"/>
      <c r="C5" s="2"/>
      <c r="D5" s="3"/>
    </row>
    <row r="6" spans="1:4" ht="15">
      <c r="A6" s="557" t="s">
        <v>2</v>
      </c>
      <c r="B6" s="558"/>
      <c r="C6" s="558"/>
      <c r="D6" s="557"/>
    </row>
    <row r="7" spans="1:4" ht="15" customHeight="1">
      <c r="A7" s="28" t="s">
        <v>3</v>
      </c>
      <c r="B7" s="29" t="s">
        <v>4</v>
      </c>
      <c r="C7" s="251"/>
      <c r="D7" s="30"/>
    </row>
    <row r="8" spans="1:4" ht="15" customHeight="1">
      <c r="A8" s="31" t="s">
        <v>5</v>
      </c>
      <c r="B8" s="32" t="s">
        <v>6</v>
      </c>
      <c r="C8" s="251"/>
      <c r="D8" s="221" t="s">
        <v>7</v>
      </c>
    </row>
    <row r="9" spans="1:4" ht="15" customHeight="1">
      <c r="A9" s="31" t="s">
        <v>8</v>
      </c>
      <c r="B9" s="32" t="s">
        <v>9</v>
      </c>
      <c r="C9" s="559" t="s">
        <v>730</v>
      </c>
      <c r="D9" s="559"/>
    </row>
    <row r="10" spans="1:4" ht="15">
      <c r="A10" s="31" t="s">
        <v>10</v>
      </c>
      <c r="B10" s="32" t="s">
        <v>11</v>
      </c>
      <c r="C10" s="252"/>
      <c r="D10" s="222">
        <v>12</v>
      </c>
    </row>
    <row r="11" spans="1:4" ht="15">
      <c r="A11" s="31" t="s">
        <v>12</v>
      </c>
      <c r="B11" s="32" t="s">
        <v>147</v>
      </c>
      <c r="C11" s="253"/>
      <c r="D11" s="223" t="s">
        <v>485</v>
      </c>
    </row>
    <row r="12" spans="1:4" ht="15">
      <c r="A12" s="31" t="s">
        <v>21</v>
      </c>
      <c r="B12" s="32" t="s">
        <v>13</v>
      </c>
      <c r="C12" s="254"/>
      <c r="D12" s="224"/>
    </row>
    <row r="13" spans="1:4" ht="15">
      <c r="A13" s="31" t="s">
        <v>22</v>
      </c>
      <c r="B13" s="32" t="s">
        <v>163</v>
      </c>
      <c r="C13" s="254"/>
      <c r="D13" s="225"/>
    </row>
    <row r="14" spans="1:4" ht="15">
      <c r="A14" s="33"/>
      <c r="B14" s="33"/>
      <c r="C14" s="255"/>
      <c r="D14" s="3"/>
    </row>
    <row r="15" spans="1:4" ht="15">
      <c r="A15" s="560" t="s">
        <v>14</v>
      </c>
      <c r="B15" s="561"/>
      <c r="C15" s="561"/>
      <c r="D15" s="562"/>
    </row>
    <row r="16" spans="1:4" ht="15">
      <c r="A16" s="28">
        <v>1</v>
      </c>
      <c r="B16" s="550" t="s">
        <v>15</v>
      </c>
      <c r="C16" s="550"/>
      <c r="D16" s="301" t="s">
        <v>231</v>
      </c>
    </row>
    <row r="17" spans="1:4" ht="15">
      <c r="A17" s="31">
        <v>2</v>
      </c>
      <c r="B17" s="550" t="s">
        <v>16</v>
      </c>
      <c r="C17" s="550"/>
      <c r="D17" s="226"/>
    </row>
    <row r="18" spans="1:4" ht="15">
      <c r="A18" s="31">
        <v>3</v>
      </c>
      <c r="B18" s="551" t="s">
        <v>17</v>
      </c>
      <c r="C18" s="551"/>
      <c r="D18" s="227">
        <v>1743.69</v>
      </c>
    </row>
    <row r="19" spans="1:4" ht="15">
      <c r="A19" s="31">
        <v>4</v>
      </c>
      <c r="B19" s="550" t="s">
        <v>18</v>
      </c>
      <c r="C19" s="550"/>
      <c r="D19" s="228">
        <v>45658</v>
      </c>
    </row>
    <row r="20" spans="1:4" ht="15">
      <c r="A20" s="14"/>
      <c r="B20" s="14"/>
      <c r="C20" s="229"/>
      <c r="D20" s="229"/>
    </row>
    <row r="21" spans="1:4" ht="15">
      <c r="A21" s="563" t="s">
        <v>93</v>
      </c>
      <c r="B21" s="563"/>
      <c r="C21" s="563"/>
      <c r="D21" s="563"/>
    </row>
    <row r="22" spans="1:4" ht="15">
      <c r="A22" s="11">
        <v>1</v>
      </c>
      <c r="B22" s="11" t="s">
        <v>19</v>
      </c>
      <c r="C22" s="256" t="s">
        <v>86</v>
      </c>
      <c r="D22" s="230" t="s">
        <v>87</v>
      </c>
    </row>
    <row r="23" spans="1:4" ht="15">
      <c r="A23" s="10" t="s">
        <v>3</v>
      </c>
      <c r="B23" s="20" t="s">
        <v>20</v>
      </c>
      <c r="C23" s="257">
        <v>1</v>
      </c>
      <c r="D23" s="185">
        <f>TRUNC(D18/30,2)</f>
        <v>58.12</v>
      </c>
    </row>
    <row r="24" spans="1:4" ht="15">
      <c r="A24" s="12" t="s">
        <v>5</v>
      </c>
      <c r="B24" s="13" t="s">
        <v>152</v>
      </c>
      <c r="C24" s="257">
        <v>0</v>
      </c>
      <c r="D24" s="184">
        <f>TRUNC((D18)*C24,2)</f>
        <v>0</v>
      </c>
    </row>
    <row r="25" spans="1:4" ht="15">
      <c r="A25" s="12" t="s">
        <v>8</v>
      </c>
      <c r="B25" s="13" t="s">
        <v>153</v>
      </c>
      <c r="C25" s="257">
        <v>0</v>
      </c>
      <c r="D25" s="184">
        <f>TRUNC((D18)*C25,2)</f>
        <v>0</v>
      </c>
    </row>
    <row r="26" spans="1:4" ht="15">
      <c r="A26" s="10" t="s">
        <v>10</v>
      </c>
      <c r="B26" s="20" t="s">
        <v>154</v>
      </c>
      <c r="C26" s="257">
        <v>0</v>
      </c>
      <c r="D26" s="185">
        <f>TRUNC((((D23+D24+D25)/220)*C26)*(D12*7),2)</f>
        <v>0</v>
      </c>
    </row>
    <row r="27" spans="1:4" ht="15">
      <c r="A27" s="10" t="s">
        <v>12</v>
      </c>
      <c r="B27" s="20" t="s">
        <v>229</v>
      </c>
      <c r="C27" s="257">
        <v>0</v>
      </c>
      <c r="D27" s="185">
        <v>0</v>
      </c>
    </row>
    <row r="28" spans="1:4" ht="15">
      <c r="A28" s="564" t="s">
        <v>84</v>
      </c>
      <c r="B28" s="565"/>
      <c r="C28" s="566"/>
      <c r="D28" s="280">
        <f>TRUNC(SUM(D23:D27),2)</f>
        <v>58.12</v>
      </c>
    </row>
    <row r="29" spans="1:4" ht="12" customHeight="1">
      <c r="A29" s="8"/>
      <c r="B29" s="8"/>
      <c r="C29" s="2"/>
      <c r="D29" s="232"/>
    </row>
    <row r="30" spans="1:4" ht="15">
      <c r="A30" s="567" t="s">
        <v>94</v>
      </c>
      <c r="B30" s="567"/>
      <c r="C30" s="567"/>
      <c r="D30" s="567"/>
    </row>
    <row r="31" spans="1:4" ht="15">
      <c r="A31" s="568" t="s">
        <v>23</v>
      </c>
      <c r="B31" s="568"/>
      <c r="C31" s="568"/>
      <c r="D31" s="568"/>
    </row>
    <row r="32" spans="1:4" s="86" customFormat="1" ht="15">
      <c r="A32" s="15" t="s">
        <v>24</v>
      </c>
      <c r="B32" s="15" t="s">
        <v>25</v>
      </c>
      <c r="C32" s="237" t="s">
        <v>86</v>
      </c>
      <c r="D32" s="233" t="s">
        <v>87</v>
      </c>
    </row>
    <row r="33" spans="1:4" s="86" customFormat="1" ht="15">
      <c r="A33" s="9" t="s">
        <v>3</v>
      </c>
      <c r="B33" s="19" t="s">
        <v>26</v>
      </c>
      <c r="C33" s="258">
        <v>8.3299999999999999E-2</v>
      </c>
      <c r="D33" s="234">
        <f>TRUNC($D28*C33,2)</f>
        <v>4.84</v>
      </c>
    </row>
    <row r="34" spans="1:4" s="86" customFormat="1" ht="15">
      <c r="A34" s="17" t="s">
        <v>5</v>
      </c>
      <c r="B34" s="18" t="s">
        <v>27</v>
      </c>
      <c r="C34" s="259">
        <v>2.7799999999999998E-2</v>
      </c>
      <c r="D34" s="234">
        <f>TRUNC(D$28*C34,2)</f>
        <v>1.61</v>
      </c>
    </row>
    <row r="35" spans="1:4" ht="15">
      <c r="A35" s="569" t="s">
        <v>85</v>
      </c>
      <c r="B35" s="569"/>
      <c r="C35" s="260">
        <f>TRUNC(SUM(C33:C34),5)</f>
        <v>0.1111</v>
      </c>
      <c r="D35" s="235">
        <f>TRUNC(SUM(D33:D34),2)</f>
        <v>6.45</v>
      </c>
    </row>
    <row r="36" spans="1:4" ht="30">
      <c r="A36" s="17" t="s">
        <v>8</v>
      </c>
      <c r="B36" s="18" t="s">
        <v>218</v>
      </c>
      <c r="C36" s="259">
        <f>C35*C49</f>
        <v>4.4217800000000002E-2</v>
      </c>
      <c r="D36" s="234">
        <f>TRUNC(D$28*C36,2)</f>
        <v>2.56</v>
      </c>
    </row>
    <row r="37" spans="1:4" ht="15">
      <c r="A37" s="569" t="s">
        <v>28</v>
      </c>
      <c r="B37" s="569"/>
      <c r="C37" s="260">
        <f>TRUNC(SUM(C35:C36),5)</f>
        <v>0.15531</v>
      </c>
      <c r="D37" s="236">
        <f>TRUNC(SUM(D35:D36),2)</f>
        <v>9.01</v>
      </c>
    </row>
    <row r="38" spans="1:4" ht="15">
      <c r="A38" s="14"/>
      <c r="B38" s="14"/>
      <c r="C38" s="229"/>
      <c r="D38" s="229"/>
    </row>
    <row r="39" spans="1:4" ht="15">
      <c r="A39" s="570" t="s">
        <v>29</v>
      </c>
      <c r="B39" s="570"/>
      <c r="C39" s="570"/>
      <c r="D39" s="570"/>
    </row>
    <row r="40" spans="1:4" ht="15">
      <c r="A40" s="16" t="s">
        <v>30</v>
      </c>
      <c r="B40" s="23" t="s">
        <v>31</v>
      </c>
      <c r="C40" s="237" t="s">
        <v>86</v>
      </c>
      <c r="D40" s="237" t="s">
        <v>87</v>
      </c>
    </row>
    <row r="41" spans="1:4" ht="15">
      <c r="A41" s="22" t="s">
        <v>3</v>
      </c>
      <c r="B41" s="19" t="s">
        <v>32</v>
      </c>
      <c r="C41" s="261">
        <f>MC!D17</f>
        <v>0.2</v>
      </c>
      <c r="D41" s="234">
        <f>TRUNC(D$28*C41,2)</f>
        <v>11.62</v>
      </c>
    </row>
    <row r="42" spans="1:4" ht="15">
      <c r="A42" s="22" t="s">
        <v>5</v>
      </c>
      <c r="B42" s="19" t="s">
        <v>33</v>
      </c>
      <c r="C42" s="261">
        <f>MC!D18</f>
        <v>2.5000000000000001E-2</v>
      </c>
      <c r="D42" s="234">
        <f t="shared" ref="D42:D48" si="0">TRUNC(D$28*C42,2)</f>
        <v>1.45</v>
      </c>
    </row>
    <row r="43" spans="1:4" ht="15">
      <c r="A43" s="22" t="s">
        <v>8</v>
      </c>
      <c r="B43" s="19" t="s">
        <v>34</v>
      </c>
      <c r="C43" s="261">
        <f>MC!D19</f>
        <v>0.06</v>
      </c>
      <c r="D43" s="234">
        <f>TRUNC(D$28*C43,2)</f>
        <v>3.48</v>
      </c>
    </row>
    <row r="44" spans="1:4" ht="15">
      <c r="A44" s="22" t="s">
        <v>10</v>
      </c>
      <c r="B44" s="19" t="s">
        <v>35</v>
      </c>
      <c r="C44" s="261">
        <f>MC!D21</f>
        <v>1.4999999999999999E-2</v>
      </c>
      <c r="D44" s="234">
        <f t="shared" si="0"/>
        <v>0.87</v>
      </c>
    </row>
    <row r="45" spans="1:4" ht="15">
      <c r="A45" s="22" t="s">
        <v>12</v>
      </c>
      <c r="B45" s="19" t="s">
        <v>36</v>
      </c>
      <c r="C45" s="261">
        <f>MC!D22</f>
        <v>0.01</v>
      </c>
      <c r="D45" s="234">
        <f t="shared" si="0"/>
        <v>0.57999999999999996</v>
      </c>
    </row>
    <row r="46" spans="1:4" ht="15">
      <c r="A46" s="22" t="s">
        <v>21</v>
      </c>
      <c r="B46" s="19" t="s">
        <v>37</v>
      </c>
      <c r="C46" s="261">
        <f>MC!D23</f>
        <v>6.0000000000000001E-3</v>
      </c>
      <c r="D46" s="234">
        <f t="shared" si="0"/>
        <v>0.34</v>
      </c>
    </row>
    <row r="47" spans="1:4" ht="15">
      <c r="A47" s="22" t="s">
        <v>22</v>
      </c>
      <c r="B47" s="19" t="s">
        <v>38</v>
      </c>
      <c r="C47" s="261">
        <f>MC!D24</f>
        <v>2E-3</v>
      </c>
      <c r="D47" s="234">
        <f t="shared" si="0"/>
        <v>0.11</v>
      </c>
    </row>
    <row r="48" spans="1:4" ht="15">
      <c r="A48" s="22" t="s">
        <v>39</v>
      </c>
      <c r="B48" s="19" t="s">
        <v>40</v>
      </c>
      <c r="C48" s="261">
        <f>MC!D25</f>
        <v>0.08</v>
      </c>
      <c r="D48" s="234">
        <f t="shared" si="0"/>
        <v>4.6399999999999997</v>
      </c>
    </row>
    <row r="49" spans="1:4" ht="15">
      <c r="A49" s="571" t="s">
        <v>41</v>
      </c>
      <c r="B49" s="571"/>
      <c r="C49" s="262">
        <f>TRUNC(SUM(C41:C48),5)</f>
        <v>0.39800000000000002</v>
      </c>
      <c r="D49" s="238">
        <f>TRUNC(SUM(D41:D48),2)</f>
        <v>23.09</v>
      </c>
    </row>
    <row r="50" spans="1:4" ht="15">
      <c r="A50" s="7"/>
      <c r="B50" s="7"/>
      <c r="C50" s="4"/>
      <c r="D50" s="232"/>
    </row>
    <row r="51" spans="1:4" ht="15">
      <c r="A51" s="570" t="s">
        <v>42</v>
      </c>
      <c r="B51" s="570"/>
      <c r="C51" s="570"/>
      <c r="D51" s="570"/>
    </row>
    <row r="52" spans="1:4" ht="15">
      <c r="A52" s="16" t="s">
        <v>43</v>
      </c>
      <c r="B52" s="572" t="s">
        <v>44</v>
      </c>
      <c r="C52" s="573"/>
      <c r="D52" s="239" t="s">
        <v>87</v>
      </c>
    </row>
    <row r="53" spans="1:4" ht="15">
      <c r="A53" s="26" t="s">
        <v>3</v>
      </c>
      <c r="B53" s="25" t="s">
        <v>88</v>
      </c>
      <c r="C53" s="182">
        <f>(5.5+3.5)*2</f>
        <v>18</v>
      </c>
      <c r="D53" s="180">
        <f>TRUNC((C53)-(D23*6%),2)</f>
        <v>14.51</v>
      </c>
    </row>
    <row r="54" spans="1:4" ht="15">
      <c r="A54" s="26" t="s">
        <v>5</v>
      </c>
      <c r="B54" s="25" t="s">
        <v>89</v>
      </c>
      <c r="C54" s="263">
        <f>MC!C34</f>
        <v>44.3</v>
      </c>
      <c r="D54" s="180">
        <f>C54</f>
        <v>44.3</v>
      </c>
    </row>
    <row r="55" spans="1:4" ht="15">
      <c r="A55" s="26" t="s">
        <v>8</v>
      </c>
      <c r="B55" s="25" t="s">
        <v>217</v>
      </c>
      <c r="C55" s="182">
        <f>MC!C41</f>
        <v>200</v>
      </c>
      <c r="D55" s="181">
        <f>TRUNC(C55/30,2)</f>
        <v>6.66</v>
      </c>
    </row>
    <row r="56" spans="1:4" ht="15">
      <c r="A56" s="26" t="s">
        <v>10</v>
      </c>
      <c r="B56" s="25" t="s">
        <v>90</v>
      </c>
      <c r="C56" s="182">
        <f>MC!C47</f>
        <v>13.64</v>
      </c>
      <c r="D56" s="181">
        <f t="shared" ref="D56:D57" si="1">TRUNC(C56/30,2)</f>
        <v>0.45</v>
      </c>
    </row>
    <row r="57" spans="1:4" ht="15">
      <c r="A57" s="17" t="s">
        <v>45</v>
      </c>
      <c r="B57" s="34" t="s">
        <v>162</v>
      </c>
      <c r="C57" s="264">
        <f>MC!C53</f>
        <v>3.61</v>
      </c>
      <c r="D57" s="181">
        <f t="shared" si="1"/>
        <v>0.12</v>
      </c>
    </row>
    <row r="58" spans="1:4" ht="15">
      <c r="A58" s="17" t="s">
        <v>469</v>
      </c>
      <c r="B58" s="34" t="s">
        <v>470</v>
      </c>
      <c r="C58" s="264">
        <v>0</v>
      </c>
      <c r="D58" s="181">
        <f>TRUNC(C58,2)</f>
        <v>0</v>
      </c>
    </row>
    <row r="59" spans="1:4" ht="15">
      <c r="A59" s="569" t="s">
        <v>41</v>
      </c>
      <c r="B59" s="569"/>
      <c r="C59" s="569"/>
      <c r="D59" s="231">
        <f>TRUNC(SUM(D53:D58),2)</f>
        <v>66.040000000000006</v>
      </c>
    </row>
    <row r="60" spans="1:4" ht="15">
      <c r="A60" s="8"/>
      <c r="B60" s="8"/>
      <c r="C60" s="2"/>
      <c r="D60" s="232"/>
    </row>
    <row r="61" spans="1:4" ht="15">
      <c r="A61" s="567" t="s">
        <v>46</v>
      </c>
      <c r="B61" s="567"/>
      <c r="C61" s="567"/>
      <c r="D61" s="567"/>
    </row>
    <row r="62" spans="1:4" ht="15">
      <c r="A62" s="11">
        <v>2</v>
      </c>
      <c r="B62" s="574" t="s">
        <v>47</v>
      </c>
      <c r="C62" s="574"/>
      <c r="D62" s="230" t="s">
        <v>87</v>
      </c>
    </row>
    <row r="63" spans="1:4" ht="15">
      <c r="A63" s="10" t="s">
        <v>24</v>
      </c>
      <c r="B63" s="575" t="s">
        <v>25</v>
      </c>
      <c r="C63" s="575"/>
      <c r="D63" s="240">
        <f>TRUNC(D37,2)</f>
        <v>9.01</v>
      </c>
    </row>
    <row r="64" spans="1:4" ht="15">
      <c r="A64" s="10" t="s">
        <v>30</v>
      </c>
      <c r="B64" s="575" t="s">
        <v>31</v>
      </c>
      <c r="C64" s="575"/>
      <c r="D64" s="240">
        <f>TRUNC(D49,2)</f>
        <v>23.09</v>
      </c>
    </row>
    <row r="65" spans="1:4" ht="15">
      <c r="A65" s="10" t="s">
        <v>43</v>
      </c>
      <c r="B65" s="575" t="s">
        <v>44</v>
      </c>
      <c r="C65" s="575"/>
      <c r="D65" s="240">
        <f>TRUNC(D59,2)</f>
        <v>66.040000000000006</v>
      </c>
    </row>
    <row r="66" spans="1:4" ht="15">
      <c r="A66" s="576" t="s">
        <v>48</v>
      </c>
      <c r="B66" s="576"/>
      <c r="C66" s="576"/>
      <c r="D66" s="279">
        <f>TRUNC(SUM(D63:D65),2)</f>
        <v>98.14</v>
      </c>
    </row>
    <row r="67" spans="1:4" ht="15">
      <c r="A67" s="8"/>
      <c r="B67" s="8"/>
      <c r="C67" s="2"/>
      <c r="D67" s="232"/>
    </row>
    <row r="68" spans="1:4" ht="15">
      <c r="A68" s="577" t="s">
        <v>49</v>
      </c>
      <c r="B68" s="577"/>
      <c r="C68" s="577"/>
      <c r="D68" s="577"/>
    </row>
    <row r="69" spans="1:4" ht="15">
      <c r="A69" s="11">
        <v>3</v>
      </c>
      <c r="B69" s="11" t="s">
        <v>50</v>
      </c>
      <c r="C69" s="230" t="s">
        <v>86</v>
      </c>
      <c r="D69" s="230" t="s">
        <v>87</v>
      </c>
    </row>
    <row r="70" spans="1:4" ht="15">
      <c r="A70" s="21" t="s">
        <v>3</v>
      </c>
      <c r="B70" s="35" t="s">
        <v>51</v>
      </c>
      <c r="C70" s="265">
        <f>MC!D67</f>
        <v>8.3000000000000001E-3</v>
      </c>
      <c r="D70" s="234">
        <f>TRUNC(D$28*C70,2)</f>
        <v>0.48</v>
      </c>
    </row>
    <row r="71" spans="1:4" ht="15">
      <c r="A71" s="26" t="s">
        <v>5</v>
      </c>
      <c r="B71" s="19" t="s">
        <v>52</v>
      </c>
      <c r="C71" s="265">
        <f>MC!D68</f>
        <v>5.9999999999999995E-4</v>
      </c>
      <c r="D71" s="234">
        <f t="shared" ref="D71:D74" si="2">TRUNC(D$28*C71,2)</f>
        <v>0.03</v>
      </c>
    </row>
    <row r="72" spans="1:4" ht="15">
      <c r="A72" s="26" t="s">
        <v>8</v>
      </c>
      <c r="B72" s="19" t="s">
        <v>53</v>
      </c>
      <c r="C72" s="265">
        <v>0.4</v>
      </c>
      <c r="D72" s="234">
        <f>0.4*0.08*0.1*(D28+D33+D34)</f>
        <v>0.20662399999999997</v>
      </c>
    </row>
    <row r="73" spans="1:4" ht="15">
      <c r="A73" s="26" t="s">
        <v>10</v>
      </c>
      <c r="B73" s="19" t="s">
        <v>122</v>
      </c>
      <c r="C73" s="265">
        <f>MC!D70</f>
        <v>1.9400000000000001E-2</v>
      </c>
      <c r="D73" s="234">
        <f t="shared" si="2"/>
        <v>1.1200000000000001</v>
      </c>
    </row>
    <row r="74" spans="1:4" ht="30">
      <c r="A74" s="26" t="s">
        <v>12</v>
      </c>
      <c r="B74" s="19" t="s">
        <v>91</v>
      </c>
      <c r="C74" s="265">
        <f>MC!D71</f>
        <v>7.7000000000000002E-3</v>
      </c>
      <c r="D74" s="234">
        <f t="shared" si="2"/>
        <v>0.44</v>
      </c>
    </row>
    <row r="75" spans="1:4" ht="15">
      <c r="A75" s="39" t="s">
        <v>21</v>
      </c>
      <c r="B75" s="18" t="s">
        <v>54</v>
      </c>
      <c r="C75" s="273">
        <v>0.4</v>
      </c>
      <c r="D75" s="274">
        <f>0.08*0.4*(D28+D33+D34)</f>
        <v>2.0662399999999996</v>
      </c>
    </row>
    <row r="76" spans="1:4" ht="15">
      <c r="A76" s="578" t="s">
        <v>41</v>
      </c>
      <c r="B76" s="578"/>
      <c r="C76" s="276">
        <f>TRUNC(SUM(C70:C75),5)</f>
        <v>0.83599999999999997</v>
      </c>
      <c r="D76" s="277">
        <f>TRUNC(SUM(D70:D75),2)</f>
        <v>4.34</v>
      </c>
    </row>
    <row r="77" spans="1:4" ht="15">
      <c r="A77" s="36"/>
      <c r="B77" s="36"/>
      <c r="C77" s="241"/>
      <c r="D77" s="241"/>
    </row>
    <row r="78" spans="1:4" ht="15">
      <c r="A78" s="579" t="s">
        <v>55</v>
      </c>
      <c r="B78" s="579"/>
      <c r="C78" s="579"/>
      <c r="D78" s="579"/>
    </row>
    <row r="79" spans="1:4" ht="15">
      <c r="A79" s="580" t="s">
        <v>56</v>
      </c>
      <c r="B79" s="580"/>
      <c r="C79" s="580"/>
      <c r="D79" s="580"/>
    </row>
    <row r="80" spans="1:4" ht="15">
      <c r="A80" s="37" t="s">
        <v>57</v>
      </c>
      <c r="B80" s="37" t="s">
        <v>58</v>
      </c>
      <c r="C80" s="242" t="s">
        <v>86</v>
      </c>
      <c r="D80" s="242" t="s">
        <v>87</v>
      </c>
    </row>
    <row r="81" spans="1:4" ht="15">
      <c r="A81" s="10" t="s">
        <v>3</v>
      </c>
      <c r="B81" s="38" t="s">
        <v>59</v>
      </c>
      <c r="C81" s="266">
        <f>MC!D77</f>
        <v>8.3299999999999999E-2</v>
      </c>
      <c r="D81" s="234">
        <f>TRUNC(D$28*C81,2)</f>
        <v>4.84</v>
      </c>
    </row>
    <row r="82" spans="1:4" ht="15">
      <c r="A82" s="10" t="s">
        <v>5</v>
      </c>
      <c r="B82" s="38" t="s">
        <v>60</v>
      </c>
      <c r="C82" s="266">
        <f>MC!D78</f>
        <v>1.3899999999999999E-2</v>
      </c>
      <c r="D82" s="234">
        <f t="shared" ref="D82:D83" si="3">TRUNC(D$28*C82,2)</f>
        <v>0.8</v>
      </c>
    </row>
    <row r="83" spans="1:4" ht="15">
      <c r="A83" s="10" t="s">
        <v>8</v>
      </c>
      <c r="B83" s="38" t="s">
        <v>61</v>
      </c>
      <c r="C83" s="266">
        <f>MC!D79</f>
        <v>6.9999999999999999E-4</v>
      </c>
      <c r="D83" s="234">
        <f t="shared" si="3"/>
        <v>0.04</v>
      </c>
    </row>
    <row r="84" spans="1:4" ht="15">
      <c r="A84" s="10" t="s">
        <v>10</v>
      </c>
      <c r="B84" s="38" t="s">
        <v>62</v>
      </c>
      <c r="C84" s="266">
        <f>MC!D80</f>
        <v>8.3333333333333332E-3</v>
      </c>
      <c r="D84" s="234">
        <f>TRUNC(D$28*C84,2)</f>
        <v>0.48</v>
      </c>
    </row>
    <row r="85" spans="1:4" ht="15">
      <c r="A85" s="83" t="s">
        <v>12</v>
      </c>
      <c r="B85" s="84" t="s">
        <v>63</v>
      </c>
      <c r="C85" s="266">
        <f>MC!D81</f>
        <v>3.7037037037037035E-4</v>
      </c>
      <c r="D85" s="234">
        <f>TRUNC(D$28*C85,2)</f>
        <v>0.02</v>
      </c>
    </row>
    <row r="86" spans="1:4" ht="15">
      <c r="A86" s="581" t="s">
        <v>155</v>
      </c>
      <c r="B86" s="581"/>
      <c r="C86" s="260">
        <f>TRUNC(SUM(C81:C85),5)</f>
        <v>0.1066</v>
      </c>
      <c r="D86" s="236">
        <f>TRUNC(SUM(D81:D85),2)</f>
        <v>6.18</v>
      </c>
    </row>
    <row r="87" spans="1:4" ht="15">
      <c r="A87" s="10" t="s">
        <v>21</v>
      </c>
      <c r="B87" s="38" t="s">
        <v>219</v>
      </c>
      <c r="C87" s="266">
        <f>C86*C49</f>
        <v>4.2426800000000001E-2</v>
      </c>
      <c r="D87" s="240">
        <f>TRUNC(D$28*C87,2)</f>
        <v>2.46</v>
      </c>
    </row>
    <row r="88" spans="1:4" ht="15">
      <c r="A88" s="581" t="s">
        <v>41</v>
      </c>
      <c r="B88" s="581"/>
      <c r="C88" s="260">
        <f>TRUNC(SUM(C86:C87),5)</f>
        <v>0.14902000000000001</v>
      </c>
      <c r="D88" s="236">
        <f>TRUNC(SUM(D86:D87),2)</f>
        <v>8.64</v>
      </c>
    </row>
    <row r="89" spans="1:4" ht="15">
      <c r="A89" s="7"/>
      <c r="B89" s="7"/>
      <c r="C89" s="4"/>
      <c r="D89" s="232"/>
    </row>
    <row r="90" spans="1:4" ht="15">
      <c r="A90" s="582" t="s">
        <v>64</v>
      </c>
      <c r="B90" s="582"/>
      <c r="C90" s="582"/>
      <c r="D90" s="582"/>
    </row>
    <row r="91" spans="1:4" ht="15">
      <c r="A91" s="16" t="s">
        <v>65</v>
      </c>
      <c r="B91" s="16" t="s">
        <v>66</v>
      </c>
      <c r="C91" s="237" t="s">
        <v>86</v>
      </c>
      <c r="D91" s="237" t="s">
        <v>87</v>
      </c>
    </row>
    <row r="92" spans="1:4" ht="30">
      <c r="A92" s="39" t="s">
        <v>3</v>
      </c>
      <c r="B92" s="18" t="s">
        <v>67</v>
      </c>
      <c r="C92" s="267">
        <v>0</v>
      </c>
      <c r="D92" s="243">
        <v>0</v>
      </c>
    </row>
    <row r="93" spans="1:4" ht="15">
      <c r="A93" s="581" t="s">
        <v>41</v>
      </c>
      <c r="B93" s="581"/>
      <c r="C93" s="268">
        <f>TRUNC(SUM(C92),4)</f>
        <v>0</v>
      </c>
      <c r="D93" s="244">
        <f>TRUNC(D92,2)</f>
        <v>0</v>
      </c>
    </row>
    <row r="94" spans="1:4" ht="15">
      <c r="A94" s="8"/>
      <c r="B94" s="8"/>
      <c r="C94" s="2"/>
      <c r="D94" s="232"/>
    </row>
    <row r="95" spans="1:4" ht="15">
      <c r="A95" s="579" t="s">
        <v>68</v>
      </c>
      <c r="B95" s="579"/>
      <c r="C95" s="579"/>
      <c r="D95" s="579"/>
    </row>
    <row r="96" spans="1:4" ht="15">
      <c r="A96" s="11">
        <v>4</v>
      </c>
      <c r="B96" s="581" t="s">
        <v>69</v>
      </c>
      <c r="C96" s="581"/>
      <c r="D96" s="230" t="s">
        <v>87</v>
      </c>
    </row>
    <row r="97" spans="1:4" ht="15">
      <c r="A97" s="88" t="s">
        <v>57</v>
      </c>
      <c r="B97" s="575" t="s">
        <v>58</v>
      </c>
      <c r="C97" s="575"/>
      <c r="D97" s="245">
        <f>TRUNC(D88,2)</f>
        <v>8.64</v>
      </c>
    </row>
    <row r="98" spans="1:4" ht="15">
      <c r="A98" s="88" t="s">
        <v>65</v>
      </c>
      <c r="B98" s="575" t="s">
        <v>66</v>
      </c>
      <c r="C98" s="575"/>
      <c r="D98" s="246">
        <v>0</v>
      </c>
    </row>
    <row r="99" spans="1:4" ht="15">
      <c r="A99" s="583" t="s">
        <v>41</v>
      </c>
      <c r="B99" s="583"/>
      <c r="C99" s="583"/>
      <c r="D99" s="272">
        <f>TRUNC(SUM(D97:D98),2)</f>
        <v>8.64</v>
      </c>
    </row>
    <row r="100" spans="1:4" ht="15">
      <c r="A100" s="8"/>
      <c r="B100" s="8"/>
      <c r="C100" s="2"/>
      <c r="D100" s="232"/>
    </row>
    <row r="101" spans="1:4" ht="15">
      <c r="A101" s="584" t="s">
        <v>80</v>
      </c>
      <c r="B101" s="584"/>
      <c r="C101" s="584"/>
      <c r="D101" s="584"/>
    </row>
    <row r="102" spans="1:4" ht="15">
      <c r="A102" s="41">
        <v>5</v>
      </c>
      <c r="B102" s="585" t="s">
        <v>92</v>
      </c>
      <c r="C102" s="586"/>
      <c r="D102" s="247" t="s">
        <v>87</v>
      </c>
    </row>
    <row r="103" spans="1:4" ht="15">
      <c r="A103" s="40" t="s">
        <v>3</v>
      </c>
      <c r="B103" s="587" t="s">
        <v>157</v>
      </c>
      <c r="C103" s="587"/>
      <c r="D103" s="181">
        <f>TRUNC(Unif_Equip!E21/30,2)</f>
        <v>1.76</v>
      </c>
    </row>
    <row r="104" spans="1:4" ht="15">
      <c r="A104" s="40" t="s">
        <v>5</v>
      </c>
      <c r="B104" s="587" t="s">
        <v>158</v>
      </c>
      <c r="C104" s="587"/>
      <c r="D104" s="181"/>
    </row>
    <row r="105" spans="1:4" ht="15">
      <c r="A105" s="40" t="s">
        <v>8</v>
      </c>
      <c r="B105" s="588" t="s">
        <v>159</v>
      </c>
      <c r="C105" s="589"/>
      <c r="D105" s="181"/>
    </row>
    <row r="106" spans="1:4" ht="15">
      <c r="A106" s="40" t="s">
        <v>12</v>
      </c>
      <c r="B106" s="588" t="s">
        <v>151</v>
      </c>
      <c r="C106" s="589"/>
      <c r="D106" s="181"/>
    </row>
    <row r="107" spans="1:4" ht="15">
      <c r="A107" s="590" t="s">
        <v>41</v>
      </c>
      <c r="B107" s="590"/>
      <c r="C107" s="590"/>
      <c r="D107" s="289">
        <f>TRUNC(SUM(D103:D106),2)</f>
        <v>1.76</v>
      </c>
    </row>
    <row r="108" spans="1:4" ht="15">
      <c r="A108" s="8"/>
      <c r="B108" s="8"/>
      <c r="C108" s="2"/>
      <c r="D108" s="3"/>
    </row>
    <row r="109" spans="1:4" ht="15">
      <c r="A109" s="591" t="s">
        <v>95</v>
      </c>
      <c r="B109" s="591"/>
      <c r="C109" s="591"/>
      <c r="D109" s="591"/>
    </row>
    <row r="110" spans="1:4" ht="15">
      <c r="A110" s="11">
        <v>6</v>
      </c>
      <c r="B110" s="42" t="s">
        <v>70</v>
      </c>
      <c r="C110" s="230" t="s">
        <v>86</v>
      </c>
      <c r="D110" s="230" t="s">
        <v>87</v>
      </c>
    </row>
    <row r="111" spans="1:4" ht="15">
      <c r="A111" s="10" t="s">
        <v>3</v>
      </c>
      <c r="B111" s="38" t="s">
        <v>71</v>
      </c>
      <c r="C111" s="269">
        <v>0.03</v>
      </c>
      <c r="D111" s="240">
        <f>TRUNC((D121+D122+D123+D124+D125)*C111,2)</f>
        <v>5.13</v>
      </c>
    </row>
    <row r="112" spans="1:4" ht="15">
      <c r="A112" s="10" t="s">
        <v>5</v>
      </c>
      <c r="B112" s="38" t="s">
        <v>72</v>
      </c>
      <c r="C112" s="269">
        <v>6.7900000000000002E-2</v>
      </c>
      <c r="D112" s="240">
        <f>TRUNC((D121+D122+D123+D124+D125+D111)*C112,2)</f>
        <v>11.95</v>
      </c>
    </row>
    <row r="113" spans="1:4" ht="15">
      <c r="A113" s="11" t="s">
        <v>8</v>
      </c>
      <c r="B113" s="43" t="s">
        <v>73</v>
      </c>
      <c r="C113" s="270">
        <f>TRUNC(SUM(C114:C116),4)</f>
        <v>0.14249999999999999</v>
      </c>
      <c r="D113" s="248"/>
    </row>
    <row r="114" spans="1:4" ht="15">
      <c r="A114" s="10"/>
      <c r="B114" s="38" t="s">
        <v>458</v>
      </c>
      <c r="C114" s="269">
        <f>MC!$C$95</f>
        <v>1.6500000000000001E-2</v>
      </c>
      <c r="D114" s="240">
        <f>TRUNC(((D$126+D$111+D$112)/(1-(C$113)))*C114,2)</f>
        <v>3.61</v>
      </c>
    </row>
    <row r="115" spans="1:4" ht="15">
      <c r="A115" s="10"/>
      <c r="B115" s="38" t="s">
        <v>459</v>
      </c>
      <c r="C115" s="269">
        <f>MC!$C$94</f>
        <v>7.5999999999999998E-2</v>
      </c>
      <c r="D115" s="240">
        <f>TRUNC(((D$126+D$111+D$112)/(1-(C$113)))*C115,2)</f>
        <v>16.66</v>
      </c>
    </row>
    <row r="116" spans="1:4" ht="15">
      <c r="A116" s="38"/>
      <c r="B116" s="38" t="s">
        <v>460</v>
      </c>
      <c r="C116" s="269">
        <f>MC!$C$93</f>
        <v>0.05</v>
      </c>
      <c r="D116" s="240">
        <f>TRUNC(((D$126+D$111+D$112)/(1-(C$113)))*C116,2)</f>
        <v>10.96</v>
      </c>
    </row>
    <row r="117" spans="1:4" ht="15">
      <c r="A117" s="594" t="s">
        <v>75</v>
      </c>
      <c r="B117" s="594"/>
      <c r="C117" s="594"/>
      <c r="D117" s="288">
        <f>TRUNC((D111+D112+D114+D115+D116),2)</f>
        <v>48.31</v>
      </c>
    </row>
    <row r="118" spans="1:4" ht="15">
      <c r="A118" s="33"/>
      <c r="B118" s="33"/>
      <c r="C118" s="255"/>
      <c r="D118" s="3"/>
    </row>
    <row r="119" spans="1:4" ht="15">
      <c r="A119" s="595" t="s">
        <v>76</v>
      </c>
      <c r="B119" s="595"/>
      <c r="C119" s="595"/>
      <c r="D119" s="595"/>
    </row>
    <row r="120" spans="1:4" ht="15">
      <c r="A120" s="596" t="s">
        <v>77</v>
      </c>
      <c r="B120" s="597"/>
      <c r="C120" s="598"/>
      <c r="D120" s="230" t="s">
        <v>87</v>
      </c>
    </row>
    <row r="121" spans="1:4" ht="15">
      <c r="A121" s="281" t="s">
        <v>3</v>
      </c>
      <c r="B121" s="599" t="s">
        <v>78</v>
      </c>
      <c r="C121" s="599"/>
      <c r="D121" s="282">
        <f>TRUNC(D28,2)</f>
        <v>58.12</v>
      </c>
    </row>
    <row r="122" spans="1:4" ht="15">
      <c r="A122" s="278" t="s">
        <v>5</v>
      </c>
      <c r="B122" s="600" t="s">
        <v>79</v>
      </c>
      <c r="C122" s="600"/>
      <c r="D122" s="283">
        <f>TRUNC(D66,2)</f>
        <v>98.14</v>
      </c>
    </row>
    <row r="123" spans="1:4" ht="15">
      <c r="A123" s="275" t="s">
        <v>8</v>
      </c>
      <c r="B123" s="601" t="s">
        <v>49</v>
      </c>
      <c r="C123" s="601"/>
      <c r="D123" s="284">
        <f>TRUNC(D76,2)</f>
        <v>4.34</v>
      </c>
    </row>
    <row r="124" spans="1:4" ht="15">
      <c r="A124" s="271" t="s">
        <v>10</v>
      </c>
      <c r="B124" s="602" t="s">
        <v>55</v>
      </c>
      <c r="C124" s="602"/>
      <c r="D124" s="285">
        <f>TRUNC(D99,2)</f>
        <v>8.64</v>
      </c>
    </row>
    <row r="125" spans="1:4" ht="15">
      <c r="A125" s="290" t="s">
        <v>12</v>
      </c>
      <c r="B125" s="592" t="s">
        <v>80</v>
      </c>
      <c r="C125" s="592"/>
      <c r="D125" s="291">
        <f>TRUNC(D107,2)</f>
        <v>1.76</v>
      </c>
    </row>
    <row r="126" spans="1:4" ht="15">
      <c r="A126" s="581" t="s">
        <v>81</v>
      </c>
      <c r="B126" s="581"/>
      <c r="C126" s="581"/>
      <c r="D126" s="236">
        <f>TRUNC(SUM(D121:D125),2)</f>
        <v>171</v>
      </c>
    </row>
    <row r="127" spans="1:4" ht="15">
      <c r="A127" s="286" t="s">
        <v>21</v>
      </c>
      <c r="B127" s="593" t="s">
        <v>82</v>
      </c>
      <c r="C127" s="593"/>
      <c r="D127" s="287">
        <f>TRUNC(D117,2)</f>
        <v>48.31</v>
      </c>
    </row>
    <row r="128" spans="1:4" ht="18.75">
      <c r="A128" s="549" t="s">
        <v>83</v>
      </c>
      <c r="B128" s="549"/>
      <c r="C128" s="549"/>
      <c r="D128" s="292">
        <f>TRUNC(D126+D127,2)</f>
        <v>219.31</v>
      </c>
    </row>
    <row r="131" spans="1:4">
      <c r="A131" s="183"/>
      <c r="D131" s="250"/>
    </row>
  </sheetData>
  <sheetProtection selectLockedCells="1" selectUnlockedCells="1"/>
  <mergeCells count="61">
    <mergeCell ref="A6:D6"/>
    <mergeCell ref="A1:D1"/>
    <mergeCell ref="A3:B3"/>
    <mergeCell ref="C3:D3"/>
    <mergeCell ref="A4:B4"/>
    <mergeCell ref="C4:D4"/>
    <mergeCell ref="A37:B37"/>
    <mergeCell ref="C9:D9"/>
    <mergeCell ref="A15:D15"/>
    <mergeCell ref="B16:C16"/>
    <mergeCell ref="B17:C17"/>
    <mergeCell ref="B18:C18"/>
    <mergeCell ref="B19:C19"/>
    <mergeCell ref="A21:D21"/>
    <mergeCell ref="A28:C28"/>
    <mergeCell ref="A30:D30"/>
    <mergeCell ref="A31:D31"/>
    <mergeCell ref="A35:B35"/>
    <mergeCell ref="A68:D68"/>
    <mergeCell ref="A39:D39"/>
    <mergeCell ref="A49:B49"/>
    <mergeCell ref="A51:D51"/>
    <mergeCell ref="B52:C52"/>
    <mergeCell ref="A59:C59"/>
    <mergeCell ref="A61:D61"/>
    <mergeCell ref="B62:C62"/>
    <mergeCell ref="B63:C63"/>
    <mergeCell ref="B64:C64"/>
    <mergeCell ref="B65:C65"/>
    <mergeCell ref="A66:C66"/>
    <mergeCell ref="A99:C99"/>
    <mergeCell ref="A76:B76"/>
    <mergeCell ref="A78:D78"/>
    <mergeCell ref="A79:D79"/>
    <mergeCell ref="A86:B86"/>
    <mergeCell ref="A88:B88"/>
    <mergeCell ref="A90:D90"/>
    <mergeCell ref="A93:B93"/>
    <mergeCell ref="A95:D95"/>
    <mergeCell ref="B96:C96"/>
    <mergeCell ref="B97:C97"/>
    <mergeCell ref="B98:C98"/>
    <mergeCell ref="B121:C121"/>
    <mergeCell ref="A101:D101"/>
    <mergeCell ref="B102:C102"/>
    <mergeCell ref="B103:C103"/>
    <mergeCell ref="B104:C104"/>
    <mergeCell ref="B105:C105"/>
    <mergeCell ref="B106:C106"/>
    <mergeCell ref="A107:C107"/>
    <mergeCell ref="A109:D109"/>
    <mergeCell ref="A117:C117"/>
    <mergeCell ref="A119:D119"/>
    <mergeCell ref="A120:C120"/>
    <mergeCell ref="A128:C128"/>
    <mergeCell ref="B122:C122"/>
    <mergeCell ref="B123:C123"/>
    <mergeCell ref="B124:C124"/>
    <mergeCell ref="B125:C125"/>
    <mergeCell ref="A126:C126"/>
    <mergeCell ref="B127:C127"/>
  </mergeCells>
  <conditionalFormatting sqref="D53">
    <cfRule type="cellIs" dxfId="1" priority="1" operator="lessThan">
      <formula>0</formula>
    </cfRule>
  </conditionalFormatting>
  <pageMargins left="0.19685039370078741" right="0.19685039370078741" top="0.98425196850393704" bottom="0.78740157480314965" header="0.31496062992125984" footer="0.31496062992125984"/>
  <pageSetup paperSize="9" scale="92" firstPageNumber="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77B1D-A0C8-4EB1-8CC7-86F7756FAF4E}">
  <sheetPr>
    <tabColor theme="9" tint="0.79998168889431442"/>
    <pageSetUpPr fitToPage="1"/>
  </sheetPr>
  <dimension ref="A1:D131"/>
  <sheetViews>
    <sheetView zoomScaleNormal="100" zoomScaleSheetLayoutView="100" workbookViewId="0">
      <selection activeCell="D28" sqref="D28"/>
    </sheetView>
  </sheetViews>
  <sheetFormatPr defaultRowHeight="12"/>
  <cols>
    <col min="1" max="1" width="11" style="1" customWidth="1"/>
    <col min="2" max="2" width="59" style="1" customWidth="1"/>
    <col min="3" max="3" width="15.7109375" style="249" customWidth="1"/>
    <col min="4" max="4" width="22.5703125" style="249" customWidth="1"/>
    <col min="5" max="16384" width="9.140625" style="1"/>
  </cols>
  <sheetData>
    <row r="1" spans="1:4" ht="33" customHeight="1">
      <c r="A1" s="645" t="s">
        <v>1</v>
      </c>
      <c r="B1" s="645"/>
      <c r="C1" s="645"/>
      <c r="D1" s="645"/>
    </row>
    <row r="2" spans="1:4" ht="15">
      <c r="A2" s="4"/>
      <c r="B2" s="4"/>
      <c r="C2" s="4"/>
      <c r="D2" s="5"/>
    </row>
    <row r="3" spans="1:4" ht="15">
      <c r="A3" s="553" t="s">
        <v>388</v>
      </c>
      <c r="B3" s="554"/>
      <c r="C3" s="555" t="s">
        <v>371</v>
      </c>
      <c r="D3" s="556"/>
    </row>
    <row r="4" spans="1:4" ht="15">
      <c r="A4" s="553" t="s">
        <v>389</v>
      </c>
      <c r="B4" s="554"/>
      <c r="C4" s="555"/>
      <c r="D4" s="556"/>
    </row>
    <row r="5" spans="1:4" ht="15">
      <c r="A5" s="6"/>
      <c r="B5" s="6"/>
      <c r="C5" s="2"/>
      <c r="D5" s="3"/>
    </row>
    <row r="6" spans="1:4" ht="15">
      <c r="A6" s="557" t="s">
        <v>2</v>
      </c>
      <c r="B6" s="558"/>
      <c r="C6" s="558"/>
      <c r="D6" s="557"/>
    </row>
    <row r="7" spans="1:4" ht="15" customHeight="1">
      <c r="A7" s="28" t="s">
        <v>3</v>
      </c>
      <c r="B7" s="29" t="s">
        <v>4</v>
      </c>
      <c r="C7" s="251"/>
      <c r="D7" s="30"/>
    </row>
    <row r="8" spans="1:4" ht="15" customHeight="1">
      <c r="A8" s="31" t="s">
        <v>5</v>
      </c>
      <c r="B8" s="32" t="s">
        <v>6</v>
      </c>
      <c r="C8" s="251"/>
      <c r="D8" s="221" t="s">
        <v>7</v>
      </c>
    </row>
    <row r="9" spans="1:4" ht="15" customHeight="1">
      <c r="A9" s="31" t="s">
        <v>8</v>
      </c>
      <c r="B9" s="32" t="s">
        <v>9</v>
      </c>
      <c r="C9" s="559" t="s">
        <v>730</v>
      </c>
      <c r="D9" s="559"/>
    </row>
    <row r="10" spans="1:4" ht="15">
      <c r="A10" s="31" t="s">
        <v>10</v>
      </c>
      <c r="B10" s="32" t="s">
        <v>11</v>
      </c>
      <c r="C10" s="252"/>
      <c r="D10" s="222">
        <v>12</v>
      </c>
    </row>
    <row r="11" spans="1:4" ht="15">
      <c r="A11" s="31" t="s">
        <v>12</v>
      </c>
      <c r="B11" s="32" t="s">
        <v>147</v>
      </c>
      <c r="C11" s="253"/>
      <c r="D11" s="223" t="s">
        <v>485</v>
      </c>
    </row>
    <row r="12" spans="1:4" ht="15">
      <c r="A12" s="31" t="s">
        <v>21</v>
      </c>
      <c r="B12" s="32" t="s">
        <v>13</v>
      </c>
      <c r="C12" s="254"/>
      <c r="D12" s="224"/>
    </row>
    <row r="13" spans="1:4" ht="15">
      <c r="A13" s="31" t="s">
        <v>22</v>
      </c>
      <c r="B13" s="32" t="s">
        <v>163</v>
      </c>
      <c r="C13" s="254"/>
      <c r="D13" s="225"/>
    </row>
    <row r="14" spans="1:4" ht="15">
      <c r="A14" s="33"/>
      <c r="B14" s="33"/>
      <c r="C14" s="255"/>
      <c r="D14" s="3"/>
    </row>
    <row r="15" spans="1:4" ht="15">
      <c r="A15" s="560" t="s">
        <v>14</v>
      </c>
      <c r="B15" s="561"/>
      <c r="C15" s="561"/>
      <c r="D15" s="562"/>
    </row>
    <row r="16" spans="1:4" ht="15">
      <c r="A16" s="28">
        <v>1</v>
      </c>
      <c r="B16" s="550" t="s">
        <v>15</v>
      </c>
      <c r="C16" s="550"/>
      <c r="D16" s="301" t="s">
        <v>484</v>
      </c>
    </row>
    <row r="17" spans="1:4" ht="15">
      <c r="A17" s="31">
        <v>2</v>
      </c>
      <c r="B17" s="550" t="s">
        <v>16</v>
      </c>
      <c r="C17" s="550"/>
      <c r="D17" s="226"/>
    </row>
    <row r="18" spans="1:4" ht="15">
      <c r="A18" s="31">
        <v>3</v>
      </c>
      <c r="B18" s="551" t="s">
        <v>17</v>
      </c>
      <c r="C18" s="551"/>
      <c r="D18" s="227">
        <v>2574.37</v>
      </c>
    </row>
    <row r="19" spans="1:4" ht="15">
      <c r="A19" s="31">
        <v>4</v>
      </c>
      <c r="B19" s="550" t="s">
        <v>18</v>
      </c>
      <c r="C19" s="550"/>
      <c r="D19" s="228">
        <v>45658</v>
      </c>
    </row>
    <row r="20" spans="1:4" ht="15">
      <c r="A20" s="14"/>
      <c r="B20" s="14"/>
      <c r="C20" s="229"/>
      <c r="D20" s="229"/>
    </row>
    <row r="21" spans="1:4" ht="15">
      <c r="A21" s="563" t="s">
        <v>93</v>
      </c>
      <c r="B21" s="563"/>
      <c r="C21" s="563"/>
      <c r="D21" s="563"/>
    </row>
    <row r="22" spans="1:4" ht="15">
      <c r="A22" s="11">
        <v>1</v>
      </c>
      <c r="B22" s="11" t="s">
        <v>19</v>
      </c>
      <c r="C22" s="256" t="s">
        <v>86</v>
      </c>
      <c r="D22" s="230" t="s">
        <v>87</v>
      </c>
    </row>
    <row r="23" spans="1:4" ht="15">
      <c r="A23" s="10" t="s">
        <v>3</v>
      </c>
      <c r="B23" s="20" t="s">
        <v>20</v>
      </c>
      <c r="C23" s="257">
        <v>1</v>
      </c>
      <c r="D23" s="185">
        <f>TRUNC(D18/30,2)</f>
        <v>85.81</v>
      </c>
    </row>
    <row r="24" spans="1:4" ht="15">
      <c r="A24" s="12" t="s">
        <v>5</v>
      </c>
      <c r="B24" s="13" t="s">
        <v>152</v>
      </c>
      <c r="C24" s="257">
        <v>0</v>
      </c>
      <c r="D24" s="184">
        <f>TRUNC((D18)*C24,2)</f>
        <v>0</v>
      </c>
    </row>
    <row r="25" spans="1:4" ht="15">
      <c r="A25" s="12" t="s">
        <v>8</v>
      </c>
      <c r="B25" s="13" t="s">
        <v>153</v>
      </c>
      <c r="C25" s="257">
        <v>0</v>
      </c>
      <c r="D25" s="184">
        <f>TRUNC((D18)*C25,2)</f>
        <v>0</v>
      </c>
    </row>
    <row r="26" spans="1:4" ht="15">
      <c r="A26" s="10" t="s">
        <v>10</v>
      </c>
      <c r="B26" s="20" t="s">
        <v>154</v>
      </c>
      <c r="C26" s="257">
        <v>0</v>
      </c>
      <c r="D26" s="185">
        <f>TRUNC((((D23+D24+D25)/220)*C26)*(D12*7),2)</f>
        <v>0</v>
      </c>
    </row>
    <row r="27" spans="1:4" ht="15">
      <c r="A27" s="10" t="s">
        <v>12</v>
      </c>
      <c r="B27" s="20" t="s">
        <v>229</v>
      </c>
      <c r="C27" s="257">
        <v>0</v>
      </c>
      <c r="D27" s="185">
        <v>0</v>
      </c>
    </row>
    <row r="28" spans="1:4" ht="15">
      <c r="A28" s="564" t="s">
        <v>84</v>
      </c>
      <c r="B28" s="565"/>
      <c r="C28" s="566"/>
      <c r="D28" s="280">
        <f>TRUNC(SUM(D23:D27),2)</f>
        <v>85.81</v>
      </c>
    </row>
    <row r="29" spans="1:4" ht="12" customHeight="1">
      <c r="A29" s="8"/>
      <c r="B29" s="8"/>
      <c r="C29" s="2"/>
      <c r="D29" s="232"/>
    </row>
    <row r="30" spans="1:4" ht="15">
      <c r="A30" s="567" t="s">
        <v>94</v>
      </c>
      <c r="B30" s="567"/>
      <c r="C30" s="567"/>
      <c r="D30" s="567"/>
    </row>
    <row r="31" spans="1:4" ht="15">
      <c r="A31" s="568" t="s">
        <v>23</v>
      </c>
      <c r="B31" s="568"/>
      <c r="C31" s="568"/>
      <c r="D31" s="568"/>
    </row>
    <row r="32" spans="1:4" s="86" customFormat="1" ht="15">
      <c r="A32" s="15" t="s">
        <v>24</v>
      </c>
      <c r="B32" s="15" t="s">
        <v>25</v>
      </c>
      <c r="C32" s="237" t="s">
        <v>86</v>
      </c>
      <c r="D32" s="233" t="s">
        <v>87</v>
      </c>
    </row>
    <row r="33" spans="1:4" s="86" customFormat="1" ht="15">
      <c r="A33" s="9" t="s">
        <v>3</v>
      </c>
      <c r="B33" s="19" t="s">
        <v>26</v>
      </c>
      <c r="C33" s="258">
        <v>8.3299999999999999E-2</v>
      </c>
      <c r="D33" s="234">
        <f>TRUNC($D28*C33,2)</f>
        <v>7.14</v>
      </c>
    </row>
    <row r="34" spans="1:4" s="86" customFormat="1" ht="15">
      <c r="A34" s="17" t="s">
        <v>5</v>
      </c>
      <c r="B34" s="18" t="s">
        <v>27</v>
      </c>
      <c r="C34" s="259">
        <v>2.7799999999999998E-2</v>
      </c>
      <c r="D34" s="234">
        <f>TRUNC(D$28*C34,2)</f>
        <v>2.38</v>
      </c>
    </row>
    <row r="35" spans="1:4" ht="15">
      <c r="A35" s="569" t="s">
        <v>85</v>
      </c>
      <c r="B35" s="569"/>
      <c r="C35" s="260">
        <f>TRUNC(SUM(C33:C34),5)</f>
        <v>0.1111</v>
      </c>
      <c r="D35" s="235">
        <f>TRUNC(SUM(D33:D34),2)</f>
        <v>9.52</v>
      </c>
    </row>
    <row r="36" spans="1:4" ht="30">
      <c r="A36" s="17" t="s">
        <v>8</v>
      </c>
      <c r="B36" s="18" t="s">
        <v>218</v>
      </c>
      <c r="C36" s="259">
        <f>C35*C49</f>
        <v>4.4217800000000002E-2</v>
      </c>
      <c r="D36" s="234">
        <f>TRUNC(D$28*C36,2)</f>
        <v>3.79</v>
      </c>
    </row>
    <row r="37" spans="1:4" ht="15">
      <c r="A37" s="569" t="s">
        <v>28</v>
      </c>
      <c r="B37" s="569"/>
      <c r="C37" s="260">
        <f>TRUNC(SUM(C35:C36),5)</f>
        <v>0.15531</v>
      </c>
      <c r="D37" s="236">
        <f>TRUNC(SUM(D35:D36),2)</f>
        <v>13.31</v>
      </c>
    </row>
    <row r="38" spans="1:4" ht="15">
      <c r="A38" s="14"/>
      <c r="B38" s="14"/>
      <c r="C38" s="229"/>
      <c r="D38" s="229"/>
    </row>
    <row r="39" spans="1:4" ht="15">
      <c r="A39" s="570" t="s">
        <v>29</v>
      </c>
      <c r="B39" s="570"/>
      <c r="C39" s="570"/>
      <c r="D39" s="570"/>
    </row>
    <row r="40" spans="1:4" ht="15">
      <c r="A40" s="16" t="s">
        <v>30</v>
      </c>
      <c r="B40" s="23" t="s">
        <v>31</v>
      </c>
      <c r="C40" s="237" t="s">
        <v>86</v>
      </c>
      <c r="D40" s="237" t="s">
        <v>87</v>
      </c>
    </row>
    <row r="41" spans="1:4" ht="15">
      <c r="A41" s="22" t="s">
        <v>3</v>
      </c>
      <c r="B41" s="19" t="s">
        <v>32</v>
      </c>
      <c r="C41" s="261">
        <f>MC!D17</f>
        <v>0.2</v>
      </c>
      <c r="D41" s="234">
        <f>TRUNC(D$28*C41,2)</f>
        <v>17.16</v>
      </c>
    </row>
    <row r="42" spans="1:4" ht="15">
      <c r="A42" s="22" t="s">
        <v>5</v>
      </c>
      <c r="B42" s="19" t="s">
        <v>33</v>
      </c>
      <c r="C42" s="261">
        <f>MC!D18</f>
        <v>2.5000000000000001E-2</v>
      </c>
      <c r="D42" s="234">
        <f t="shared" ref="D42:D48" si="0">TRUNC(D$28*C42,2)</f>
        <v>2.14</v>
      </c>
    </row>
    <row r="43" spans="1:4" ht="15">
      <c r="A43" s="22" t="s">
        <v>8</v>
      </c>
      <c r="B43" s="19" t="s">
        <v>34</v>
      </c>
      <c r="C43" s="261">
        <f>MC!D19</f>
        <v>0.06</v>
      </c>
      <c r="D43" s="234">
        <f>TRUNC(D$28*C43,2)</f>
        <v>5.14</v>
      </c>
    </row>
    <row r="44" spans="1:4" ht="15">
      <c r="A44" s="22" t="s">
        <v>10</v>
      </c>
      <c r="B44" s="19" t="s">
        <v>35</v>
      </c>
      <c r="C44" s="261">
        <f>MC!D21</f>
        <v>1.4999999999999999E-2</v>
      </c>
      <c r="D44" s="234">
        <f t="shared" si="0"/>
        <v>1.28</v>
      </c>
    </row>
    <row r="45" spans="1:4" ht="15">
      <c r="A45" s="22" t="s">
        <v>12</v>
      </c>
      <c r="B45" s="19" t="s">
        <v>36</v>
      </c>
      <c r="C45" s="261">
        <f>MC!D22</f>
        <v>0.01</v>
      </c>
      <c r="D45" s="234">
        <f t="shared" si="0"/>
        <v>0.85</v>
      </c>
    </row>
    <row r="46" spans="1:4" ht="15">
      <c r="A46" s="22" t="s">
        <v>21</v>
      </c>
      <c r="B46" s="19" t="s">
        <v>37</v>
      </c>
      <c r="C46" s="261">
        <f>MC!D23</f>
        <v>6.0000000000000001E-3</v>
      </c>
      <c r="D46" s="234">
        <f t="shared" si="0"/>
        <v>0.51</v>
      </c>
    </row>
    <row r="47" spans="1:4" ht="15">
      <c r="A47" s="22" t="s">
        <v>22</v>
      </c>
      <c r="B47" s="19" t="s">
        <v>38</v>
      </c>
      <c r="C47" s="261">
        <f>MC!D24</f>
        <v>2E-3</v>
      </c>
      <c r="D47" s="234">
        <f t="shared" si="0"/>
        <v>0.17</v>
      </c>
    </row>
    <row r="48" spans="1:4" ht="15">
      <c r="A48" s="22" t="s">
        <v>39</v>
      </c>
      <c r="B48" s="19" t="s">
        <v>40</v>
      </c>
      <c r="C48" s="261">
        <f>MC!D25</f>
        <v>0.08</v>
      </c>
      <c r="D48" s="234">
        <f t="shared" si="0"/>
        <v>6.86</v>
      </c>
    </row>
    <row r="49" spans="1:4" ht="15">
      <c r="A49" s="571" t="s">
        <v>41</v>
      </c>
      <c r="B49" s="571"/>
      <c r="C49" s="262">
        <f>TRUNC(SUM(C41:C48),5)</f>
        <v>0.39800000000000002</v>
      </c>
      <c r="D49" s="238">
        <f>TRUNC(SUM(D41:D48),2)</f>
        <v>34.11</v>
      </c>
    </row>
    <row r="50" spans="1:4" ht="15">
      <c r="A50" s="7"/>
      <c r="B50" s="7"/>
      <c r="C50" s="4"/>
      <c r="D50" s="232"/>
    </row>
    <row r="51" spans="1:4" ht="15">
      <c r="A51" s="570" t="s">
        <v>42</v>
      </c>
      <c r="B51" s="570"/>
      <c r="C51" s="570"/>
      <c r="D51" s="570"/>
    </row>
    <row r="52" spans="1:4" ht="15">
      <c r="A52" s="16" t="s">
        <v>43</v>
      </c>
      <c r="B52" s="572" t="s">
        <v>44</v>
      </c>
      <c r="C52" s="573"/>
      <c r="D52" s="239" t="s">
        <v>87</v>
      </c>
    </row>
    <row r="53" spans="1:4" ht="15">
      <c r="A53" s="26" t="s">
        <v>3</v>
      </c>
      <c r="B53" s="25" t="s">
        <v>88</v>
      </c>
      <c r="C53" s="182">
        <f>(5.5+3.5)*2</f>
        <v>18</v>
      </c>
      <c r="D53" s="180">
        <f>TRUNC((C53)-(D23*6%),2)</f>
        <v>12.85</v>
      </c>
    </row>
    <row r="54" spans="1:4" ht="15">
      <c r="A54" s="26" t="s">
        <v>5</v>
      </c>
      <c r="B54" s="25" t="s">
        <v>89</v>
      </c>
      <c r="C54" s="263">
        <f>MC!C34</f>
        <v>44.3</v>
      </c>
      <c r="D54" s="180">
        <f>C54</f>
        <v>44.3</v>
      </c>
    </row>
    <row r="55" spans="1:4" ht="15">
      <c r="A55" s="26" t="s">
        <v>8</v>
      </c>
      <c r="B55" s="25" t="s">
        <v>217</v>
      </c>
      <c r="C55" s="182">
        <f>MC!C41</f>
        <v>200</v>
      </c>
      <c r="D55" s="181">
        <f>TRUNC(C55/30,2)</f>
        <v>6.66</v>
      </c>
    </row>
    <row r="56" spans="1:4" ht="15">
      <c r="A56" s="26" t="s">
        <v>10</v>
      </c>
      <c r="B56" s="25" t="s">
        <v>90</v>
      </c>
      <c r="C56" s="182">
        <f>MC!C47</f>
        <v>13.64</v>
      </c>
      <c r="D56" s="181">
        <f t="shared" ref="D56:D57" si="1">TRUNC(C56/30,2)</f>
        <v>0.45</v>
      </c>
    </row>
    <row r="57" spans="1:4" ht="15">
      <c r="A57" s="17" t="s">
        <v>45</v>
      </c>
      <c r="B57" s="34" t="s">
        <v>162</v>
      </c>
      <c r="C57" s="264">
        <f>MC!C53</f>
        <v>3.61</v>
      </c>
      <c r="D57" s="181">
        <f t="shared" si="1"/>
        <v>0.12</v>
      </c>
    </row>
    <row r="58" spans="1:4" ht="15">
      <c r="A58" s="17" t="s">
        <v>469</v>
      </c>
      <c r="B58" s="34" t="s">
        <v>470</v>
      </c>
      <c r="C58" s="264">
        <v>0</v>
      </c>
      <c r="D58" s="181">
        <f>TRUNC(C58,2)</f>
        <v>0</v>
      </c>
    </row>
    <row r="59" spans="1:4" ht="15">
      <c r="A59" s="569" t="s">
        <v>41</v>
      </c>
      <c r="B59" s="569"/>
      <c r="C59" s="569"/>
      <c r="D59" s="231">
        <f>TRUNC(SUM(D53:D58),2)</f>
        <v>64.38</v>
      </c>
    </row>
    <row r="60" spans="1:4" ht="15">
      <c r="A60" s="8"/>
      <c r="B60" s="8"/>
      <c r="C60" s="2"/>
      <c r="D60" s="232"/>
    </row>
    <row r="61" spans="1:4" ht="15">
      <c r="A61" s="567" t="s">
        <v>46</v>
      </c>
      <c r="B61" s="567"/>
      <c r="C61" s="567"/>
      <c r="D61" s="567"/>
    </row>
    <row r="62" spans="1:4" ht="15">
      <c r="A62" s="11">
        <v>2</v>
      </c>
      <c r="B62" s="574" t="s">
        <v>47</v>
      </c>
      <c r="C62" s="574"/>
      <c r="D62" s="230" t="s">
        <v>87</v>
      </c>
    </row>
    <row r="63" spans="1:4" ht="15">
      <c r="A63" s="10" t="s">
        <v>24</v>
      </c>
      <c r="B63" s="575" t="s">
        <v>25</v>
      </c>
      <c r="C63" s="575"/>
      <c r="D63" s="240">
        <f>TRUNC(D37,2)</f>
        <v>13.31</v>
      </c>
    </row>
    <row r="64" spans="1:4" ht="15">
      <c r="A64" s="10" t="s">
        <v>30</v>
      </c>
      <c r="B64" s="575" t="s">
        <v>31</v>
      </c>
      <c r="C64" s="575"/>
      <c r="D64" s="240">
        <f>TRUNC(D49,2)</f>
        <v>34.11</v>
      </c>
    </row>
    <row r="65" spans="1:4" ht="15">
      <c r="A65" s="10" t="s">
        <v>43</v>
      </c>
      <c r="B65" s="575" t="s">
        <v>44</v>
      </c>
      <c r="C65" s="575"/>
      <c r="D65" s="240">
        <f>TRUNC(D59,2)</f>
        <v>64.38</v>
      </c>
    </row>
    <row r="66" spans="1:4" ht="15">
      <c r="A66" s="576" t="s">
        <v>48</v>
      </c>
      <c r="B66" s="576"/>
      <c r="C66" s="576"/>
      <c r="D66" s="279">
        <f>TRUNC(SUM(D63:D65),2)</f>
        <v>111.8</v>
      </c>
    </row>
    <row r="67" spans="1:4" ht="15">
      <c r="A67" s="8"/>
      <c r="B67" s="8"/>
      <c r="C67" s="2"/>
      <c r="D67" s="232"/>
    </row>
    <row r="68" spans="1:4" ht="15">
      <c r="A68" s="577" t="s">
        <v>49</v>
      </c>
      <c r="B68" s="577"/>
      <c r="C68" s="577"/>
      <c r="D68" s="577"/>
    </row>
    <row r="69" spans="1:4" ht="15">
      <c r="A69" s="11">
        <v>3</v>
      </c>
      <c r="B69" s="11" t="s">
        <v>50</v>
      </c>
      <c r="C69" s="230" t="s">
        <v>86</v>
      </c>
      <c r="D69" s="230" t="s">
        <v>87</v>
      </c>
    </row>
    <row r="70" spans="1:4" ht="15">
      <c r="A70" s="21" t="s">
        <v>3</v>
      </c>
      <c r="B70" s="35" t="s">
        <v>51</v>
      </c>
      <c r="C70" s="265">
        <f>MC!D67</f>
        <v>8.3000000000000001E-3</v>
      </c>
      <c r="D70" s="234">
        <f>TRUNC(D$28*C70,2)</f>
        <v>0.71</v>
      </c>
    </row>
    <row r="71" spans="1:4" ht="15">
      <c r="A71" s="26" t="s">
        <v>5</v>
      </c>
      <c r="B71" s="19" t="s">
        <v>52</v>
      </c>
      <c r="C71" s="265">
        <f>MC!D68</f>
        <v>5.9999999999999995E-4</v>
      </c>
      <c r="D71" s="234">
        <f t="shared" ref="D71:D74" si="2">TRUNC(D$28*C71,2)</f>
        <v>0.05</v>
      </c>
    </row>
    <row r="72" spans="1:4" ht="15">
      <c r="A72" s="26" t="s">
        <v>8</v>
      </c>
      <c r="B72" s="19" t="s">
        <v>53</v>
      </c>
      <c r="C72" s="265">
        <v>0.4</v>
      </c>
      <c r="D72" s="234">
        <f>0.4*0.08*0.1*(D28+D33+D34)</f>
        <v>0.30505599999999999</v>
      </c>
    </row>
    <row r="73" spans="1:4" ht="15">
      <c r="A73" s="26" t="s">
        <v>10</v>
      </c>
      <c r="B73" s="19" t="s">
        <v>122</v>
      </c>
      <c r="C73" s="265">
        <f>MC!D70</f>
        <v>1.9400000000000001E-2</v>
      </c>
      <c r="D73" s="234">
        <f t="shared" si="2"/>
        <v>1.66</v>
      </c>
    </row>
    <row r="74" spans="1:4" ht="30">
      <c r="A74" s="26" t="s">
        <v>12</v>
      </c>
      <c r="B74" s="19" t="s">
        <v>91</v>
      </c>
      <c r="C74" s="265">
        <f>MC!D71</f>
        <v>7.7000000000000002E-3</v>
      </c>
      <c r="D74" s="234">
        <f t="shared" si="2"/>
        <v>0.66</v>
      </c>
    </row>
    <row r="75" spans="1:4" ht="15">
      <c r="A75" s="39" t="s">
        <v>21</v>
      </c>
      <c r="B75" s="18" t="s">
        <v>54</v>
      </c>
      <c r="C75" s="273">
        <v>0.4</v>
      </c>
      <c r="D75" s="274">
        <f>0.08*0.4*(D28+D33+D34)</f>
        <v>3.0505599999999999</v>
      </c>
    </row>
    <row r="76" spans="1:4" ht="15">
      <c r="A76" s="578" t="s">
        <v>41</v>
      </c>
      <c r="B76" s="578"/>
      <c r="C76" s="276">
        <f>TRUNC(SUM(C70:C75),5)</f>
        <v>0.83599999999999997</v>
      </c>
      <c r="D76" s="277">
        <f>TRUNC(SUM(D70:D75),2)</f>
        <v>6.43</v>
      </c>
    </row>
    <row r="77" spans="1:4" ht="15">
      <c r="A77" s="36"/>
      <c r="B77" s="36"/>
      <c r="C77" s="241"/>
      <c r="D77" s="241"/>
    </row>
    <row r="78" spans="1:4" ht="15">
      <c r="A78" s="579" t="s">
        <v>55</v>
      </c>
      <c r="B78" s="579"/>
      <c r="C78" s="579"/>
      <c r="D78" s="579"/>
    </row>
    <row r="79" spans="1:4" ht="15">
      <c r="A79" s="580" t="s">
        <v>56</v>
      </c>
      <c r="B79" s="580"/>
      <c r="C79" s="580"/>
      <c r="D79" s="580"/>
    </row>
    <row r="80" spans="1:4" ht="15">
      <c r="A80" s="37" t="s">
        <v>57</v>
      </c>
      <c r="B80" s="37" t="s">
        <v>58</v>
      </c>
      <c r="C80" s="242" t="s">
        <v>86</v>
      </c>
      <c r="D80" s="242" t="s">
        <v>87</v>
      </c>
    </row>
    <row r="81" spans="1:4" ht="15">
      <c r="A81" s="10" t="s">
        <v>3</v>
      </c>
      <c r="B81" s="38" t="s">
        <v>59</v>
      </c>
      <c r="C81" s="266">
        <f>MC!D77</f>
        <v>8.3299999999999999E-2</v>
      </c>
      <c r="D81" s="234">
        <f>TRUNC(D$28*C81,2)</f>
        <v>7.14</v>
      </c>
    </row>
    <row r="82" spans="1:4" ht="15">
      <c r="A82" s="10" t="s">
        <v>5</v>
      </c>
      <c r="B82" s="38" t="s">
        <v>60</v>
      </c>
      <c r="C82" s="266">
        <f>MC!D78</f>
        <v>1.3899999999999999E-2</v>
      </c>
      <c r="D82" s="234">
        <f t="shared" ref="D82:D83" si="3">TRUNC(D$28*C82,2)</f>
        <v>1.19</v>
      </c>
    </row>
    <row r="83" spans="1:4" ht="15">
      <c r="A83" s="10" t="s">
        <v>8</v>
      </c>
      <c r="B83" s="38" t="s">
        <v>61</v>
      </c>
      <c r="C83" s="266">
        <f>MC!D79</f>
        <v>6.9999999999999999E-4</v>
      </c>
      <c r="D83" s="234">
        <f t="shared" si="3"/>
        <v>0.06</v>
      </c>
    </row>
    <row r="84" spans="1:4" ht="15">
      <c r="A84" s="10" t="s">
        <v>10</v>
      </c>
      <c r="B84" s="38" t="s">
        <v>62</v>
      </c>
      <c r="C84" s="266">
        <f>MC!D80</f>
        <v>8.3333333333333332E-3</v>
      </c>
      <c r="D84" s="234">
        <f>TRUNC(D$28*C84,2)</f>
        <v>0.71</v>
      </c>
    </row>
    <row r="85" spans="1:4" ht="15">
      <c r="A85" s="83" t="s">
        <v>12</v>
      </c>
      <c r="B85" s="84" t="s">
        <v>63</v>
      </c>
      <c r="C85" s="266">
        <f>MC!D81</f>
        <v>3.7037037037037035E-4</v>
      </c>
      <c r="D85" s="234">
        <f>TRUNC(D$28*C85,2)</f>
        <v>0.03</v>
      </c>
    </row>
    <row r="86" spans="1:4" ht="15">
      <c r="A86" s="581" t="s">
        <v>155</v>
      </c>
      <c r="B86" s="581"/>
      <c r="C86" s="260">
        <f>TRUNC(SUM(C81:C85),5)</f>
        <v>0.1066</v>
      </c>
      <c r="D86" s="236">
        <f>TRUNC(SUM(D81:D85),2)</f>
        <v>9.1300000000000008</v>
      </c>
    </row>
    <row r="87" spans="1:4" ht="15">
      <c r="A87" s="10" t="s">
        <v>21</v>
      </c>
      <c r="B87" s="38" t="s">
        <v>219</v>
      </c>
      <c r="C87" s="266">
        <f>C86*C49</f>
        <v>4.2426800000000001E-2</v>
      </c>
      <c r="D87" s="240">
        <f>TRUNC(D$28*C87,2)</f>
        <v>3.64</v>
      </c>
    </row>
    <row r="88" spans="1:4" ht="15">
      <c r="A88" s="581" t="s">
        <v>41</v>
      </c>
      <c r="B88" s="581"/>
      <c r="C88" s="260">
        <f>TRUNC(SUM(C86:C87),5)</f>
        <v>0.14902000000000001</v>
      </c>
      <c r="D88" s="236">
        <f>TRUNC(SUM(D86:D87),2)</f>
        <v>12.77</v>
      </c>
    </row>
    <row r="89" spans="1:4" ht="15">
      <c r="A89" s="7"/>
      <c r="B89" s="7"/>
      <c r="C89" s="4"/>
      <c r="D89" s="232"/>
    </row>
    <row r="90" spans="1:4" ht="15">
      <c r="A90" s="582" t="s">
        <v>64</v>
      </c>
      <c r="B90" s="582"/>
      <c r="C90" s="582"/>
      <c r="D90" s="582"/>
    </row>
    <row r="91" spans="1:4" ht="15">
      <c r="A91" s="16" t="s">
        <v>65</v>
      </c>
      <c r="B91" s="16" t="s">
        <v>66</v>
      </c>
      <c r="C91" s="237" t="s">
        <v>86</v>
      </c>
      <c r="D91" s="237" t="s">
        <v>87</v>
      </c>
    </row>
    <row r="92" spans="1:4" ht="30">
      <c r="A92" s="39" t="s">
        <v>3</v>
      </c>
      <c r="B92" s="18" t="s">
        <v>67</v>
      </c>
      <c r="C92" s="267">
        <v>0</v>
      </c>
      <c r="D92" s="243">
        <v>0</v>
      </c>
    </row>
    <row r="93" spans="1:4" ht="15">
      <c r="A93" s="581" t="s">
        <v>41</v>
      </c>
      <c r="B93" s="581"/>
      <c r="C93" s="268">
        <f>TRUNC(SUM(C92),4)</f>
        <v>0</v>
      </c>
      <c r="D93" s="244">
        <f>TRUNC(D92,2)</f>
        <v>0</v>
      </c>
    </row>
    <row r="94" spans="1:4" ht="15">
      <c r="A94" s="8"/>
      <c r="B94" s="8"/>
      <c r="C94" s="2"/>
      <c r="D94" s="232"/>
    </row>
    <row r="95" spans="1:4" ht="15">
      <c r="A95" s="579" t="s">
        <v>68</v>
      </c>
      <c r="B95" s="579"/>
      <c r="C95" s="579"/>
      <c r="D95" s="579"/>
    </row>
    <row r="96" spans="1:4" ht="15">
      <c r="A96" s="11">
        <v>4</v>
      </c>
      <c r="B96" s="581" t="s">
        <v>69</v>
      </c>
      <c r="C96" s="581"/>
      <c r="D96" s="230" t="s">
        <v>87</v>
      </c>
    </row>
    <row r="97" spans="1:4" ht="15">
      <c r="A97" s="88" t="s">
        <v>57</v>
      </c>
      <c r="B97" s="575" t="s">
        <v>58</v>
      </c>
      <c r="C97" s="575"/>
      <c r="D97" s="245">
        <f>TRUNC(D88,2)</f>
        <v>12.77</v>
      </c>
    </row>
    <row r="98" spans="1:4" ht="15">
      <c r="A98" s="88" t="s">
        <v>65</v>
      </c>
      <c r="B98" s="575" t="s">
        <v>66</v>
      </c>
      <c r="C98" s="575"/>
      <c r="D98" s="246">
        <v>0</v>
      </c>
    </row>
    <row r="99" spans="1:4" ht="15">
      <c r="A99" s="583" t="s">
        <v>41</v>
      </c>
      <c r="B99" s="583"/>
      <c r="C99" s="583"/>
      <c r="D99" s="272">
        <f>TRUNC(SUM(D97:D98),2)</f>
        <v>12.77</v>
      </c>
    </row>
    <row r="100" spans="1:4" ht="15">
      <c r="A100" s="8"/>
      <c r="B100" s="8"/>
      <c r="C100" s="2"/>
      <c r="D100" s="232"/>
    </row>
    <row r="101" spans="1:4" ht="15">
      <c r="A101" s="584" t="s">
        <v>80</v>
      </c>
      <c r="B101" s="584"/>
      <c r="C101" s="584"/>
      <c r="D101" s="584"/>
    </row>
    <row r="102" spans="1:4" ht="15">
      <c r="A102" s="41">
        <v>5</v>
      </c>
      <c r="B102" s="585" t="s">
        <v>92</v>
      </c>
      <c r="C102" s="586"/>
      <c r="D102" s="247" t="s">
        <v>87</v>
      </c>
    </row>
    <row r="103" spans="1:4" ht="15">
      <c r="A103" s="40" t="s">
        <v>3</v>
      </c>
      <c r="B103" s="587" t="s">
        <v>157</v>
      </c>
      <c r="C103" s="587"/>
      <c r="D103" s="181">
        <f>TRUNC(Unif_Equip!E21/30,2)</f>
        <v>1.76</v>
      </c>
    </row>
    <row r="104" spans="1:4" ht="15">
      <c r="A104" s="40" t="s">
        <v>5</v>
      </c>
      <c r="B104" s="587" t="s">
        <v>158</v>
      </c>
      <c r="C104" s="587"/>
      <c r="D104" s="181"/>
    </row>
    <row r="105" spans="1:4" ht="15">
      <c r="A105" s="40" t="s">
        <v>8</v>
      </c>
      <c r="B105" s="588" t="s">
        <v>159</v>
      </c>
      <c r="C105" s="589"/>
      <c r="D105" s="181"/>
    </row>
    <row r="106" spans="1:4" ht="15">
      <c r="A106" s="40" t="s">
        <v>12</v>
      </c>
      <c r="B106" s="588" t="s">
        <v>151</v>
      </c>
      <c r="C106" s="589"/>
      <c r="D106" s="181"/>
    </row>
    <row r="107" spans="1:4" ht="15">
      <c r="A107" s="590" t="s">
        <v>41</v>
      </c>
      <c r="B107" s="590"/>
      <c r="C107" s="590"/>
      <c r="D107" s="289">
        <f>TRUNC(SUM(D103:D106),2)</f>
        <v>1.76</v>
      </c>
    </row>
    <row r="108" spans="1:4" ht="15">
      <c r="A108" s="8"/>
      <c r="B108" s="8"/>
      <c r="C108" s="2"/>
      <c r="D108" s="3"/>
    </row>
    <row r="109" spans="1:4" ht="15">
      <c r="A109" s="591" t="s">
        <v>95</v>
      </c>
      <c r="B109" s="591"/>
      <c r="C109" s="591"/>
      <c r="D109" s="591"/>
    </row>
    <row r="110" spans="1:4" ht="15">
      <c r="A110" s="11">
        <v>6</v>
      </c>
      <c r="B110" s="42" t="s">
        <v>70</v>
      </c>
      <c r="C110" s="230" t="s">
        <v>86</v>
      </c>
      <c r="D110" s="230" t="s">
        <v>87</v>
      </c>
    </row>
    <row r="111" spans="1:4" ht="15">
      <c r="A111" s="10" t="s">
        <v>3</v>
      </c>
      <c r="B111" s="38" t="s">
        <v>71</v>
      </c>
      <c r="C111" s="269">
        <v>0.03</v>
      </c>
      <c r="D111" s="240">
        <f>TRUNC((D121+D122+D123+D124+D125)*C111,2)</f>
        <v>6.55</v>
      </c>
    </row>
    <row r="112" spans="1:4" ht="15">
      <c r="A112" s="10" t="s">
        <v>5</v>
      </c>
      <c r="B112" s="38" t="s">
        <v>72</v>
      </c>
      <c r="C112" s="269">
        <v>6.7900000000000002E-2</v>
      </c>
      <c r="D112" s="240">
        <f>TRUNC((D121+D122+D123+D124+D125+D111)*C112,2)</f>
        <v>15.28</v>
      </c>
    </row>
    <row r="113" spans="1:4" ht="15">
      <c r="A113" s="11" t="s">
        <v>8</v>
      </c>
      <c r="B113" s="43" t="s">
        <v>73</v>
      </c>
      <c r="C113" s="270">
        <f>TRUNC(SUM(C114:C116),4)</f>
        <v>0.14249999999999999</v>
      </c>
      <c r="D113" s="248"/>
    </row>
    <row r="114" spans="1:4" ht="15">
      <c r="A114" s="10"/>
      <c r="B114" s="38" t="s">
        <v>458</v>
      </c>
      <c r="C114" s="269">
        <f>MC!$C$95</f>
        <v>1.6500000000000001E-2</v>
      </c>
      <c r="D114" s="240">
        <f>TRUNC(((D$126+D$111+D$112)/(1-(C$113)))*C114,2)</f>
        <v>4.62</v>
      </c>
    </row>
    <row r="115" spans="1:4" ht="15">
      <c r="A115" s="10"/>
      <c r="B115" s="38" t="s">
        <v>459</v>
      </c>
      <c r="C115" s="269">
        <f>MC!$C$94</f>
        <v>7.5999999999999998E-2</v>
      </c>
      <c r="D115" s="240">
        <f>TRUNC(((D$126+D$111+D$112)/(1-(C$113)))*C115,2)</f>
        <v>21.3</v>
      </c>
    </row>
    <row r="116" spans="1:4" ht="15">
      <c r="A116" s="38"/>
      <c r="B116" s="38" t="s">
        <v>460</v>
      </c>
      <c r="C116" s="269">
        <f>MC!$C$93</f>
        <v>0.05</v>
      </c>
      <c r="D116" s="240">
        <f>TRUNC(((D$126+D$111+D$112)/(1-(C$113)))*C116,2)</f>
        <v>14.01</v>
      </c>
    </row>
    <row r="117" spans="1:4" ht="15">
      <c r="A117" s="594" t="s">
        <v>75</v>
      </c>
      <c r="B117" s="594"/>
      <c r="C117" s="594"/>
      <c r="D117" s="288">
        <f>TRUNC((D111+D112+D114+D115+D116),2)</f>
        <v>61.76</v>
      </c>
    </row>
    <row r="118" spans="1:4" ht="15">
      <c r="A118" s="33"/>
      <c r="B118" s="33"/>
      <c r="C118" s="255"/>
      <c r="D118" s="3"/>
    </row>
    <row r="119" spans="1:4" ht="15">
      <c r="A119" s="595" t="s">
        <v>76</v>
      </c>
      <c r="B119" s="595"/>
      <c r="C119" s="595"/>
      <c r="D119" s="595"/>
    </row>
    <row r="120" spans="1:4" ht="15">
      <c r="A120" s="596" t="s">
        <v>77</v>
      </c>
      <c r="B120" s="597"/>
      <c r="C120" s="598"/>
      <c r="D120" s="230" t="s">
        <v>87</v>
      </c>
    </row>
    <row r="121" spans="1:4" ht="15">
      <c r="A121" s="281" t="s">
        <v>3</v>
      </c>
      <c r="B121" s="599" t="s">
        <v>78</v>
      </c>
      <c r="C121" s="599"/>
      <c r="D121" s="282">
        <f>TRUNC(D28,2)</f>
        <v>85.81</v>
      </c>
    </row>
    <row r="122" spans="1:4" ht="15">
      <c r="A122" s="278" t="s">
        <v>5</v>
      </c>
      <c r="B122" s="600" t="s">
        <v>79</v>
      </c>
      <c r="C122" s="600"/>
      <c r="D122" s="283">
        <f>TRUNC(D66,2)</f>
        <v>111.8</v>
      </c>
    </row>
    <row r="123" spans="1:4" ht="15">
      <c r="A123" s="275" t="s">
        <v>8</v>
      </c>
      <c r="B123" s="601" t="s">
        <v>49</v>
      </c>
      <c r="C123" s="601"/>
      <c r="D123" s="284">
        <f>TRUNC(D76,2)</f>
        <v>6.43</v>
      </c>
    </row>
    <row r="124" spans="1:4" ht="15">
      <c r="A124" s="271" t="s">
        <v>10</v>
      </c>
      <c r="B124" s="602" t="s">
        <v>55</v>
      </c>
      <c r="C124" s="602"/>
      <c r="D124" s="285">
        <f>TRUNC(D99,2)</f>
        <v>12.77</v>
      </c>
    </row>
    <row r="125" spans="1:4" ht="15">
      <c r="A125" s="290" t="s">
        <v>12</v>
      </c>
      <c r="B125" s="592" t="s">
        <v>80</v>
      </c>
      <c r="C125" s="592"/>
      <c r="D125" s="291">
        <f>TRUNC(D107,2)</f>
        <v>1.76</v>
      </c>
    </row>
    <row r="126" spans="1:4" ht="15">
      <c r="A126" s="581" t="s">
        <v>81</v>
      </c>
      <c r="B126" s="581"/>
      <c r="C126" s="581"/>
      <c r="D126" s="236">
        <f>TRUNC(SUM(D121:D125),2)</f>
        <v>218.57</v>
      </c>
    </row>
    <row r="127" spans="1:4" ht="15">
      <c r="A127" s="286" t="s">
        <v>21</v>
      </c>
      <c r="B127" s="593" t="s">
        <v>82</v>
      </c>
      <c r="C127" s="593"/>
      <c r="D127" s="287">
        <f>TRUNC(D117,2)</f>
        <v>61.76</v>
      </c>
    </row>
    <row r="128" spans="1:4" ht="18.75">
      <c r="A128" s="549" t="s">
        <v>83</v>
      </c>
      <c r="B128" s="549"/>
      <c r="C128" s="549"/>
      <c r="D128" s="292">
        <f>TRUNC(D126+D127,2)</f>
        <v>280.33</v>
      </c>
    </row>
    <row r="131" spans="1:4">
      <c r="A131" s="183"/>
      <c r="D131" s="250"/>
    </row>
  </sheetData>
  <sheetProtection selectLockedCells="1" selectUnlockedCells="1"/>
  <mergeCells count="61">
    <mergeCell ref="A6:D6"/>
    <mergeCell ref="A1:D1"/>
    <mergeCell ref="A3:B3"/>
    <mergeCell ref="C3:D3"/>
    <mergeCell ref="A4:B4"/>
    <mergeCell ref="C4:D4"/>
    <mergeCell ref="A37:B37"/>
    <mergeCell ref="C9:D9"/>
    <mergeCell ref="A15:D15"/>
    <mergeCell ref="B16:C16"/>
    <mergeCell ref="B17:C17"/>
    <mergeCell ref="B18:C18"/>
    <mergeCell ref="B19:C19"/>
    <mergeCell ref="A21:D21"/>
    <mergeCell ref="A28:C28"/>
    <mergeCell ref="A30:D30"/>
    <mergeCell ref="A31:D31"/>
    <mergeCell ref="A35:B35"/>
    <mergeCell ref="A68:D68"/>
    <mergeCell ref="A39:D39"/>
    <mergeCell ref="A49:B49"/>
    <mergeCell ref="A51:D51"/>
    <mergeCell ref="B52:C52"/>
    <mergeCell ref="A59:C59"/>
    <mergeCell ref="A61:D61"/>
    <mergeCell ref="B62:C62"/>
    <mergeCell ref="B63:C63"/>
    <mergeCell ref="B64:C64"/>
    <mergeCell ref="B65:C65"/>
    <mergeCell ref="A66:C66"/>
    <mergeCell ref="A99:C99"/>
    <mergeCell ref="A76:B76"/>
    <mergeCell ref="A78:D78"/>
    <mergeCell ref="A79:D79"/>
    <mergeCell ref="A86:B86"/>
    <mergeCell ref="A88:B88"/>
    <mergeCell ref="A90:D90"/>
    <mergeCell ref="A93:B93"/>
    <mergeCell ref="A95:D95"/>
    <mergeCell ref="B96:C96"/>
    <mergeCell ref="B97:C97"/>
    <mergeCell ref="B98:C98"/>
    <mergeCell ref="B121:C121"/>
    <mergeCell ref="A101:D101"/>
    <mergeCell ref="B102:C102"/>
    <mergeCell ref="B103:C103"/>
    <mergeCell ref="B104:C104"/>
    <mergeCell ref="B105:C105"/>
    <mergeCell ref="B106:C106"/>
    <mergeCell ref="A107:C107"/>
    <mergeCell ref="A109:D109"/>
    <mergeCell ref="A117:C117"/>
    <mergeCell ref="A119:D119"/>
    <mergeCell ref="A120:C120"/>
    <mergeCell ref="A128:C128"/>
    <mergeCell ref="B122:C122"/>
    <mergeCell ref="B123:C123"/>
    <mergeCell ref="B124:C124"/>
    <mergeCell ref="B125:C125"/>
    <mergeCell ref="A126:C126"/>
    <mergeCell ref="B127:C127"/>
  </mergeCells>
  <conditionalFormatting sqref="D53">
    <cfRule type="cellIs" dxfId="0" priority="1" operator="lessThan">
      <formula>0</formula>
    </cfRule>
  </conditionalFormatting>
  <pageMargins left="0.19685039370078741" right="0.19685039370078741" top="0.98425196850393704" bottom="0.78740157480314965" header="0.31496062992125984" footer="0.31496062992125984"/>
  <pageSetup paperSize="9" scale="92" firstPageNumber="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0549F-91CA-4E4C-809F-ECB613BEDBEE}">
  <sheetPr>
    <tabColor theme="5" tint="-0.249977111117893"/>
    <pageSetUpPr fitToPage="1"/>
  </sheetPr>
  <dimension ref="A1:V193"/>
  <sheetViews>
    <sheetView topLeftCell="A92" zoomScale="80" zoomScaleNormal="80" zoomScaleSheetLayoutView="115" zoomScalePageLayoutView="400" workbookViewId="0">
      <selection activeCell="D115" sqref="D115"/>
    </sheetView>
  </sheetViews>
  <sheetFormatPr defaultRowHeight="15.75"/>
  <cols>
    <col min="1" max="1" width="5.42578125" style="98" bestFit="1" customWidth="1"/>
    <col min="2" max="2" width="62.7109375" style="98" customWidth="1"/>
    <col min="3" max="3" width="12.7109375" style="98" customWidth="1"/>
    <col min="4" max="4" width="14.7109375" style="98" bestFit="1" customWidth="1"/>
    <col min="5" max="5" width="14.28515625" bestFit="1" customWidth="1"/>
    <col min="6" max="6" width="16.42578125" customWidth="1"/>
    <col min="7" max="7" width="26.28515625" style="98" bestFit="1" customWidth="1"/>
    <col min="8" max="8" width="16.85546875" style="98" bestFit="1" customWidth="1"/>
    <col min="9" max="9" width="20" bestFit="1" customWidth="1"/>
    <col min="10" max="10" width="17" customWidth="1"/>
    <col min="11" max="11" width="15" customWidth="1"/>
    <col min="12" max="12" width="17.5703125" customWidth="1"/>
    <col min="13" max="13" width="21.42578125" customWidth="1"/>
    <col min="14" max="14" width="23" customWidth="1"/>
    <col min="15" max="15" width="25.85546875" bestFit="1" customWidth="1"/>
    <col min="16" max="17" width="24.85546875" customWidth="1"/>
    <col min="18" max="18" width="14.5703125" customWidth="1"/>
    <col min="19" max="19" width="17.85546875" customWidth="1"/>
    <col min="20" max="20" width="14.42578125" bestFit="1" customWidth="1"/>
    <col min="21" max="22" width="17.85546875" bestFit="1" customWidth="1"/>
  </cols>
  <sheetData>
    <row r="1" spans="1:18" ht="27.75" customHeight="1" thickBot="1">
      <c r="A1" s="691" t="s">
        <v>354</v>
      </c>
      <c r="B1" s="692"/>
      <c r="C1" s="692"/>
      <c r="D1" s="692"/>
      <c r="E1" s="692"/>
      <c r="F1" s="381"/>
      <c r="G1" s="693" t="s">
        <v>598</v>
      </c>
      <c r="H1" s="694"/>
      <c r="I1" s="694"/>
      <c r="J1" s="694"/>
      <c r="K1" s="694"/>
      <c r="L1" s="694"/>
      <c r="M1" s="694"/>
      <c r="N1" s="694"/>
      <c r="O1" s="694"/>
      <c r="P1" s="695"/>
      <c r="Q1" s="382"/>
      <c r="R1" s="382"/>
    </row>
    <row r="2" spans="1:18" ht="18.75" customHeight="1">
      <c r="A2" s="198"/>
      <c r="B2" s="198"/>
      <c r="C2" s="198"/>
      <c r="D2" s="198"/>
      <c r="E2" s="198"/>
      <c r="F2" s="198"/>
      <c r="G2" s="198"/>
      <c r="H2" s="198"/>
      <c r="I2" s="198"/>
      <c r="J2" s="198"/>
    </row>
    <row r="3" spans="1:18" ht="15.75" customHeight="1">
      <c r="A3" s="696" t="s">
        <v>717</v>
      </c>
      <c r="B3" s="696"/>
      <c r="C3" s="696"/>
      <c r="D3" s="696"/>
      <c r="E3" s="696"/>
      <c r="G3" s="684" t="s">
        <v>599</v>
      </c>
      <c r="H3" s="685"/>
      <c r="I3" s="685"/>
      <c r="J3" s="685"/>
      <c r="K3" s="685"/>
      <c r="L3" s="686"/>
      <c r="M3" s="687" t="s">
        <v>596</v>
      </c>
      <c r="N3" s="688"/>
      <c r="O3" s="688"/>
      <c r="P3" s="689"/>
      <c r="Q3" s="383"/>
      <c r="R3" s="383"/>
    </row>
    <row r="4" spans="1:18" ht="63">
      <c r="A4" s="169" t="s">
        <v>148</v>
      </c>
      <c r="B4" s="170" t="s">
        <v>167</v>
      </c>
      <c r="C4" s="169" t="s">
        <v>149</v>
      </c>
      <c r="D4" s="171" t="s">
        <v>164</v>
      </c>
      <c r="E4" s="169" t="s">
        <v>150</v>
      </c>
      <c r="G4" s="169" t="s">
        <v>600</v>
      </c>
      <c r="H4" s="169" t="s">
        <v>483</v>
      </c>
      <c r="I4" s="169" t="s">
        <v>601</v>
      </c>
      <c r="J4" s="169" t="s">
        <v>483</v>
      </c>
      <c r="K4" s="169" t="s">
        <v>602</v>
      </c>
      <c r="L4" s="169" t="s">
        <v>483</v>
      </c>
      <c r="M4" s="169" t="s">
        <v>603</v>
      </c>
      <c r="N4" s="169" t="s">
        <v>604</v>
      </c>
      <c r="O4" s="169" t="s">
        <v>605</v>
      </c>
      <c r="P4" s="169" t="s">
        <v>606</v>
      </c>
      <c r="Q4" s="384"/>
      <c r="R4" s="384"/>
    </row>
    <row r="5" spans="1:18" ht="63">
      <c r="A5" s="89">
        <v>1</v>
      </c>
      <c r="B5" s="107" t="s">
        <v>399</v>
      </c>
      <c r="C5" s="90">
        <f>O5</f>
        <v>33.92</v>
      </c>
      <c r="D5" s="97">
        <v>4</v>
      </c>
      <c r="E5" s="91">
        <f>TRUNC(C5*D5,2)</f>
        <v>135.68</v>
      </c>
      <c r="G5" s="385">
        <v>30</v>
      </c>
      <c r="H5" s="385">
        <f>G5*D5</f>
        <v>120</v>
      </c>
      <c r="I5" s="385">
        <v>37.840000000000003</v>
      </c>
      <c r="J5" s="385">
        <f>I5*D5</f>
        <v>151.36000000000001</v>
      </c>
      <c r="K5" s="385"/>
      <c r="L5" s="385">
        <f>K5*D5</f>
        <v>0</v>
      </c>
      <c r="M5" s="386">
        <f>AVERAGE(G5,I5,K5)</f>
        <v>33.92</v>
      </c>
      <c r="N5" s="387">
        <f>M5*D5</f>
        <v>135.68</v>
      </c>
      <c r="O5" s="386">
        <f>MEDIAN(G5,I5,K5)</f>
        <v>33.92</v>
      </c>
      <c r="P5" s="387">
        <f t="shared" ref="P5:P10" si="0">O5*D5</f>
        <v>135.68</v>
      </c>
      <c r="Q5" s="388"/>
      <c r="R5" s="388"/>
    </row>
    <row r="6" spans="1:18" ht="63">
      <c r="A6" s="89">
        <v>2</v>
      </c>
      <c r="B6" s="107" t="s">
        <v>398</v>
      </c>
      <c r="C6" s="90">
        <f t="shared" ref="C6:C10" si="1">O6</f>
        <v>36.64</v>
      </c>
      <c r="D6" s="97">
        <v>4</v>
      </c>
      <c r="E6" s="91">
        <f t="shared" ref="E6:E10" si="2">TRUNC(C6*D6,2)</f>
        <v>146.56</v>
      </c>
      <c r="G6" s="385"/>
      <c r="H6" s="385">
        <f t="shared" ref="H6:H10" si="3">G6*D6</f>
        <v>0</v>
      </c>
      <c r="I6" s="385"/>
      <c r="J6" s="385">
        <f t="shared" ref="J6:J10" si="4">I6*D6</f>
        <v>0</v>
      </c>
      <c r="K6" s="385">
        <v>36.64</v>
      </c>
      <c r="L6" s="385">
        <f t="shared" ref="L6:L10" si="5">K6*D6</f>
        <v>146.56</v>
      </c>
      <c r="M6" s="386">
        <f t="shared" ref="M6:M11" si="6">AVERAGE(G6,I6,K6)</f>
        <v>36.64</v>
      </c>
      <c r="N6" s="387">
        <f t="shared" ref="N6:N10" si="7">M6*D6</f>
        <v>146.56</v>
      </c>
      <c r="O6" s="386">
        <f t="shared" ref="O6:O10" si="8">MEDIAN(G6,I6,K6)</f>
        <v>36.64</v>
      </c>
      <c r="P6" s="387">
        <f t="shared" si="0"/>
        <v>146.56</v>
      </c>
      <c r="Q6" s="388"/>
      <c r="R6" s="388"/>
    </row>
    <row r="7" spans="1:18" ht="78.75">
      <c r="A7" s="89">
        <v>3</v>
      </c>
      <c r="B7" s="107" t="s">
        <v>397</v>
      </c>
      <c r="C7" s="90">
        <f t="shared" si="1"/>
        <v>34.450000000000003</v>
      </c>
      <c r="D7" s="97">
        <v>4</v>
      </c>
      <c r="E7" s="91">
        <f t="shared" si="2"/>
        <v>137.80000000000001</v>
      </c>
      <c r="G7" s="385">
        <v>25</v>
      </c>
      <c r="H7" s="385">
        <f t="shared" si="3"/>
        <v>100</v>
      </c>
      <c r="I7" s="385">
        <v>34.450000000000003</v>
      </c>
      <c r="J7" s="385">
        <f t="shared" si="4"/>
        <v>137.80000000000001</v>
      </c>
      <c r="K7" s="385">
        <v>73.28</v>
      </c>
      <c r="L7" s="385">
        <f t="shared" si="5"/>
        <v>293.12</v>
      </c>
      <c r="M7" s="386">
        <f t="shared" si="6"/>
        <v>44.243333333333339</v>
      </c>
      <c r="N7" s="387">
        <f t="shared" si="7"/>
        <v>176.97333333333336</v>
      </c>
      <c r="O7" s="386">
        <f t="shared" si="8"/>
        <v>34.450000000000003</v>
      </c>
      <c r="P7" s="387">
        <f t="shared" si="0"/>
        <v>137.80000000000001</v>
      </c>
      <c r="Q7" s="388"/>
      <c r="R7" s="388"/>
    </row>
    <row r="8" spans="1:18" ht="110.25">
      <c r="A8" s="89">
        <v>4</v>
      </c>
      <c r="B8" s="107" t="s">
        <v>410</v>
      </c>
      <c r="C8" s="90">
        <f t="shared" si="1"/>
        <v>59</v>
      </c>
      <c r="D8" s="97">
        <v>4</v>
      </c>
      <c r="E8" s="91">
        <f t="shared" si="2"/>
        <v>236</v>
      </c>
      <c r="G8" s="385">
        <v>59</v>
      </c>
      <c r="H8" s="385">
        <f t="shared" si="3"/>
        <v>236</v>
      </c>
      <c r="I8" s="385">
        <v>53.86</v>
      </c>
      <c r="J8" s="385">
        <f t="shared" si="4"/>
        <v>215.44</v>
      </c>
      <c r="K8" s="385">
        <v>78.510000000000005</v>
      </c>
      <c r="L8" s="385">
        <f t="shared" si="5"/>
        <v>314.04000000000002</v>
      </c>
      <c r="M8" s="386">
        <f t="shared" si="6"/>
        <v>63.79</v>
      </c>
      <c r="N8" s="387">
        <f t="shared" si="7"/>
        <v>255.16</v>
      </c>
      <c r="O8" s="386">
        <f t="shared" si="8"/>
        <v>59</v>
      </c>
      <c r="P8" s="387">
        <f t="shared" si="0"/>
        <v>236</v>
      </c>
      <c r="Q8" s="388"/>
      <c r="R8" s="388"/>
    </row>
    <row r="9" spans="1:18" ht="47.25">
      <c r="A9" s="89">
        <v>5</v>
      </c>
      <c r="B9" s="107" t="s">
        <v>406</v>
      </c>
      <c r="C9" s="90">
        <f t="shared" si="1"/>
        <v>7.07</v>
      </c>
      <c r="D9" s="97">
        <v>8</v>
      </c>
      <c r="E9" s="91">
        <f t="shared" si="2"/>
        <v>56.56</v>
      </c>
      <c r="G9" s="385">
        <v>4.3499999999999996</v>
      </c>
      <c r="H9" s="385">
        <f t="shared" si="3"/>
        <v>34.799999999999997</v>
      </c>
      <c r="I9" s="385">
        <v>7.07</v>
      </c>
      <c r="J9" s="385">
        <f t="shared" si="4"/>
        <v>56.56</v>
      </c>
      <c r="K9" s="385">
        <v>10.47</v>
      </c>
      <c r="L9" s="385">
        <f t="shared" si="5"/>
        <v>83.76</v>
      </c>
      <c r="M9" s="386">
        <f t="shared" si="6"/>
        <v>7.2966666666666669</v>
      </c>
      <c r="N9" s="387">
        <f t="shared" si="7"/>
        <v>58.373333333333335</v>
      </c>
      <c r="O9" s="386">
        <f t="shared" si="8"/>
        <v>7.07</v>
      </c>
      <c r="P9" s="387">
        <f t="shared" si="0"/>
        <v>56.56</v>
      </c>
      <c r="Q9" s="388"/>
      <c r="R9" s="388"/>
    </row>
    <row r="10" spans="1:18" ht="31.5">
      <c r="A10" s="89">
        <v>6</v>
      </c>
      <c r="B10" s="107" t="s">
        <v>400</v>
      </c>
      <c r="C10" s="90">
        <f t="shared" si="1"/>
        <v>21.284999999999997</v>
      </c>
      <c r="D10" s="97">
        <v>4</v>
      </c>
      <c r="E10" s="91">
        <f t="shared" si="2"/>
        <v>85.14</v>
      </c>
      <c r="G10" s="385"/>
      <c r="H10" s="385">
        <f t="shared" si="3"/>
        <v>0</v>
      </c>
      <c r="I10" s="385">
        <v>11.17</v>
      </c>
      <c r="J10" s="385">
        <f t="shared" si="4"/>
        <v>44.68</v>
      </c>
      <c r="K10" s="385">
        <v>31.4</v>
      </c>
      <c r="L10" s="385">
        <f t="shared" si="5"/>
        <v>125.6</v>
      </c>
      <c r="M10" s="386">
        <f t="shared" si="6"/>
        <v>21.285</v>
      </c>
      <c r="N10" s="387">
        <f t="shared" si="7"/>
        <v>85.14</v>
      </c>
      <c r="O10" s="386">
        <f t="shared" si="8"/>
        <v>21.284999999999997</v>
      </c>
      <c r="P10" s="387">
        <f t="shared" si="0"/>
        <v>85.139999999999986</v>
      </c>
      <c r="Q10" s="388"/>
      <c r="R10" s="388"/>
    </row>
    <row r="11" spans="1:18" ht="15.75" customHeight="1">
      <c r="A11" s="671" t="s">
        <v>165</v>
      </c>
      <c r="B11" s="672"/>
      <c r="C11" s="672"/>
      <c r="D11" s="673"/>
      <c r="E11" s="96">
        <f>TRUNC(SUM(E5:E10),2)</f>
        <v>797.74</v>
      </c>
      <c r="G11" s="385"/>
      <c r="H11" s="385"/>
      <c r="I11" s="385"/>
      <c r="J11" s="385"/>
      <c r="K11" s="385"/>
      <c r="L11" s="385"/>
      <c r="M11" s="387" t="e">
        <f t="shared" si="6"/>
        <v>#DIV/0!</v>
      </c>
      <c r="N11" s="387"/>
      <c r="O11" s="387"/>
      <c r="P11" s="387"/>
      <c r="Q11" s="388"/>
      <c r="R11" s="388"/>
    </row>
    <row r="12" spans="1:18" ht="15.75" customHeight="1">
      <c r="A12" s="674" t="s">
        <v>166</v>
      </c>
      <c r="B12" s="675"/>
      <c r="C12" s="675"/>
      <c r="D12" s="676"/>
      <c r="E12" s="172">
        <f>TRUNC(E11/12,2)</f>
        <v>66.47</v>
      </c>
      <c r="G12"/>
      <c r="H12"/>
      <c r="I12" s="197"/>
    </row>
    <row r="13" spans="1:18">
      <c r="A13" s="92"/>
      <c r="B13" s="92"/>
      <c r="C13" s="92"/>
      <c r="D13" s="92"/>
      <c r="G13" s="92"/>
      <c r="H13" s="92"/>
    </row>
    <row r="14" spans="1:18" ht="15.75" customHeight="1">
      <c r="A14" s="677" t="s">
        <v>518</v>
      </c>
      <c r="B14" s="678"/>
      <c r="C14" s="678"/>
      <c r="D14" s="678"/>
      <c r="E14" s="679"/>
      <c r="G14" s="684" t="s">
        <v>599</v>
      </c>
      <c r="H14" s="685"/>
      <c r="I14" s="685"/>
      <c r="J14" s="685"/>
      <c r="K14" s="685"/>
      <c r="L14" s="686"/>
      <c r="M14" s="687" t="s">
        <v>596</v>
      </c>
      <c r="N14" s="688"/>
      <c r="O14" s="688"/>
      <c r="P14" s="689"/>
      <c r="Q14" s="383"/>
      <c r="R14" s="383"/>
    </row>
    <row r="15" spans="1:18" ht="63">
      <c r="A15" s="169" t="s">
        <v>148</v>
      </c>
      <c r="B15" s="170" t="s">
        <v>167</v>
      </c>
      <c r="C15" s="169" t="s">
        <v>149</v>
      </c>
      <c r="D15" s="171" t="s">
        <v>164</v>
      </c>
      <c r="E15" s="169" t="s">
        <v>150</v>
      </c>
      <c r="G15" s="169" t="s">
        <v>607</v>
      </c>
      <c r="H15" s="169" t="s">
        <v>483</v>
      </c>
      <c r="I15" s="169" t="s">
        <v>608</v>
      </c>
      <c r="J15" s="169" t="s">
        <v>483</v>
      </c>
      <c r="K15" s="169" t="s">
        <v>602</v>
      </c>
      <c r="L15" s="169" t="s">
        <v>483</v>
      </c>
      <c r="M15" s="169" t="s">
        <v>603</v>
      </c>
      <c r="N15" s="169" t="s">
        <v>604</v>
      </c>
      <c r="O15" s="169" t="s">
        <v>605</v>
      </c>
      <c r="P15" s="169" t="s">
        <v>606</v>
      </c>
      <c r="Q15" s="384"/>
      <c r="R15" s="384"/>
    </row>
    <row r="16" spans="1:18">
      <c r="A16" s="89">
        <v>1</v>
      </c>
      <c r="B16" s="107" t="s">
        <v>280</v>
      </c>
      <c r="C16" s="90">
        <f>O16</f>
        <v>58</v>
      </c>
      <c r="D16" s="97">
        <v>4</v>
      </c>
      <c r="E16" s="91">
        <f>TRUNC(C16*D16,2)</f>
        <v>232</v>
      </c>
      <c r="F16" s="81"/>
      <c r="G16" s="385">
        <v>58</v>
      </c>
      <c r="H16" s="385">
        <f>G16*D16</f>
        <v>232</v>
      </c>
      <c r="I16" s="385">
        <v>39.15</v>
      </c>
      <c r="J16" s="385">
        <f>I16*D16</f>
        <v>156.6</v>
      </c>
      <c r="K16" s="385">
        <v>62.81</v>
      </c>
      <c r="L16" s="385">
        <f>K16*D16</f>
        <v>251.24</v>
      </c>
      <c r="M16" s="386">
        <f>AVERAGE(G16,I16,K16)</f>
        <v>53.32</v>
      </c>
      <c r="N16" s="387">
        <f>M16*D16</f>
        <v>213.28</v>
      </c>
      <c r="O16" s="386">
        <f>MEDIAN(G16,I16,K16)</f>
        <v>58</v>
      </c>
      <c r="P16" s="387">
        <f>MEDIAN(G16,I16,K16)</f>
        <v>58</v>
      </c>
      <c r="Q16" s="388"/>
      <c r="R16" s="388"/>
    </row>
    <row r="17" spans="1:18" ht="31.5">
      <c r="A17" s="89">
        <v>2</v>
      </c>
      <c r="B17" s="107" t="s">
        <v>281</v>
      </c>
      <c r="C17" s="90">
        <f t="shared" ref="C17:C19" si="9">O17</f>
        <v>27.6</v>
      </c>
      <c r="D17" s="97">
        <v>4</v>
      </c>
      <c r="E17" s="91">
        <f t="shared" ref="E17:E19" si="10">TRUNC(C17*D17,2)</f>
        <v>110.4</v>
      </c>
      <c r="F17" s="81"/>
      <c r="G17" s="385">
        <v>26</v>
      </c>
      <c r="H17" s="385">
        <f t="shared" ref="H17:H19" si="11">G17*D17</f>
        <v>104</v>
      </c>
      <c r="I17" s="385">
        <v>27.6</v>
      </c>
      <c r="J17" s="385">
        <f t="shared" ref="J17:J19" si="12">I17*D17</f>
        <v>110.4</v>
      </c>
      <c r="K17" s="385">
        <v>52.34</v>
      </c>
      <c r="L17" s="385">
        <f t="shared" ref="L17:L19" si="13">K17*D17</f>
        <v>209.36</v>
      </c>
      <c r="M17" s="386">
        <f t="shared" ref="M17:M20" si="14">AVERAGE(G17,I17,K17)</f>
        <v>35.313333333333333</v>
      </c>
      <c r="N17" s="387">
        <f t="shared" ref="N17:N20" si="15">M17*D17</f>
        <v>141.25333333333333</v>
      </c>
      <c r="O17" s="386">
        <f t="shared" ref="O17:O20" si="16">MEDIAN(G17,I17,K17)</f>
        <v>27.6</v>
      </c>
      <c r="P17" s="387">
        <f>MEDIAN(G17,I17,K17)</f>
        <v>27.6</v>
      </c>
      <c r="Q17" s="388"/>
      <c r="R17" s="388"/>
    </row>
    <row r="18" spans="1:18">
      <c r="A18" s="89">
        <v>3</v>
      </c>
      <c r="B18" s="107" t="s">
        <v>405</v>
      </c>
      <c r="C18" s="90">
        <f t="shared" si="9"/>
        <v>10.47</v>
      </c>
      <c r="D18" s="97">
        <v>8</v>
      </c>
      <c r="E18" s="91">
        <f t="shared" si="10"/>
        <v>83.76</v>
      </c>
      <c r="F18" s="81"/>
      <c r="G18" s="385">
        <v>7</v>
      </c>
      <c r="H18" s="385">
        <f t="shared" si="11"/>
        <v>56</v>
      </c>
      <c r="I18" s="385">
        <v>35</v>
      </c>
      <c r="J18" s="385">
        <f t="shared" si="12"/>
        <v>280</v>
      </c>
      <c r="K18" s="385">
        <v>10.47</v>
      </c>
      <c r="L18" s="385">
        <f t="shared" si="13"/>
        <v>83.76</v>
      </c>
      <c r="M18" s="386">
        <f t="shared" si="14"/>
        <v>17.489999999999998</v>
      </c>
      <c r="N18" s="387">
        <f t="shared" si="15"/>
        <v>139.91999999999999</v>
      </c>
      <c r="O18" s="386">
        <f t="shared" si="16"/>
        <v>10.47</v>
      </c>
      <c r="P18" s="387">
        <f>MEDIAN(G18,I18,K18)</f>
        <v>10.47</v>
      </c>
      <c r="Q18" s="388"/>
      <c r="R18" s="388"/>
    </row>
    <row r="19" spans="1:18" ht="47.25">
      <c r="A19" s="89">
        <v>4</v>
      </c>
      <c r="B19" s="107" t="s">
        <v>409</v>
      </c>
      <c r="C19" s="90">
        <f t="shared" si="9"/>
        <v>52.34</v>
      </c>
      <c r="D19" s="97">
        <v>4</v>
      </c>
      <c r="E19" s="91">
        <f t="shared" si="10"/>
        <v>209.36</v>
      </c>
      <c r="F19" s="81"/>
      <c r="G19" s="385">
        <v>48</v>
      </c>
      <c r="H19" s="385">
        <f t="shared" si="11"/>
        <v>192</v>
      </c>
      <c r="I19" s="385">
        <v>52.71</v>
      </c>
      <c r="J19" s="385">
        <f t="shared" si="12"/>
        <v>210.84</v>
      </c>
      <c r="K19" s="385">
        <v>52.34</v>
      </c>
      <c r="L19" s="385">
        <f t="shared" si="13"/>
        <v>209.36</v>
      </c>
      <c r="M19" s="386">
        <f t="shared" si="14"/>
        <v>51.016666666666673</v>
      </c>
      <c r="N19" s="387">
        <f t="shared" si="15"/>
        <v>204.06666666666669</v>
      </c>
      <c r="O19" s="386">
        <f t="shared" si="16"/>
        <v>52.34</v>
      </c>
      <c r="P19" s="387">
        <f>MEDIAN(G19,I19,K19)</f>
        <v>52.34</v>
      </c>
      <c r="Q19" s="388"/>
      <c r="R19" s="388"/>
    </row>
    <row r="20" spans="1:18">
      <c r="A20" s="671" t="s">
        <v>165</v>
      </c>
      <c r="B20" s="672"/>
      <c r="C20" s="672"/>
      <c r="D20" s="673"/>
      <c r="E20" s="96">
        <f>TRUNC(SUM(E16:E19),2)</f>
        <v>635.52</v>
      </c>
      <c r="G20" s="385"/>
      <c r="H20" s="385"/>
      <c r="I20" s="385"/>
      <c r="J20" s="385"/>
      <c r="K20" s="385"/>
      <c r="L20" s="385"/>
      <c r="M20" s="387" t="e">
        <f t="shared" si="14"/>
        <v>#DIV/0!</v>
      </c>
      <c r="N20" s="387" t="e">
        <f t="shared" si="15"/>
        <v>#DIV/0!</v>
      </c>
      <c r="O20" s="387" t="e">
        <f t="shared" si="16"/>
        <v>#NUM!</v>
      </c>
      <c r="P20" s="387" t="e">
        <f>MEDIAN(G20,I20,K20)</f>
        <v>#NUM!</v>
      </c>
      <c r="Q20" s="388"/>
      <c r="R20" s="388"/>
    </row>
    <row r="21" spans="1:18">
      <c r="A21" s="674" t="s">
        <v>166</v>
      </c>
      <c r="B21" s="675"/>
      <c r="C21" s="675"/>
      <c r="D21" s="676"/>
      <c r="E21" s="172">
        <f>TRUNC(E20/12,2)</f>
        <v>52.96</v>
      </c>
      <c r="G21"/>
      <c r="H21"/>
      <c r="I21" s="197"/>
    </row>
    <row r="22" spans="1:18">
      <c r="A22" s="92"/>
      <c r="B22" s="92"/>
      <c r="C22" s="92"/>
      <c r="D22" s="92"/>
      <c r="G22" s="92"/>
      <c r="H22" s="92"/>
    </row>
    <row r="23" spans="1:18" ht="15.75" customHeight="1">
      <c r="A23" s="677" t="s">
        <v>279</v>
      </c>
      <c r="B23" s="678"/>
      <c r="C23" s="678"/>
      <c r="D23" s="678"/>
      <c r="E23" s="679"/>
      <c r="G23" s="684" t="s">
        <v>599</v>
      </c>
      <c r="H23" s="685"/>
      <c r="I23" s="685"/>
      <c r="J23" s="685"/>
      <c r="K23" s="685"/>
      <c r="L23" s="686"/>
      <c r="M23" s="687" t="s">
        <v>596</v>
      </c>
      <c r="N23" s="688"/>
      <c r="O23" s="688"/>
      <c r="P23" s="689"/>
      <c r="Q23" s="383"/>
      <c r="R23" s="383"/>
    </row>
    <row r="24" spans="1:18" ht="31.5">
      <c r="A24" s="169" t="s">
        <v>148</v>
      </c>
      <c r="B24" s="170" t="s">
        <v>167</v>
      </c>
      <c r="C24" s="169" t="s">
        <v>149</v>
      </c>
      <c r="D24" s="171" t="s">
        <v>164</v>
      </c>
      <c r="E24" s="169" t="s">
        <v>150</v>
      </c>
      <c r="G24" s="169" t="s">
        <v>607</v>
      </c>
      <c r="H24" s="169" t="s">
        <v>483</v>
      </c>
      <c r="I24" s="169" t="s">
        <v>602</v>
      </c>
      <c r="J24" s="169" t="s">
        <v>483</v>
      </c>
      <c r="K24" s="169"/>
      <c r="L24" s="169" t="s">
        <v>483</v>
      </c>
      <c r="M24" s="169" t="s">
        <v>603</v>
      </c>
      <c r="N24" s="169" t="s">
        <v>604</v>
      </c>
      <c r="O24" s="169" t="s">
        <v>605</v>
      </c>
      <c r="P24" s="169" t="s">
        <v>606</v>
      </c>
      <c r="Q24" s="384"/>
      <c r="R24" s="384"/>
    </row>
    <row r="25" spans="1:18" ht="31.5">
      <c r="A25" s="89">
        <v>1</v>
      </c>
      <c r="B25" s="107" t="s">
        <v>516</v>
      </c>
      <c r="C25" s="90">
        <f>O25</f>
        <v>60.405000000000001</v>
      </c>
      <c r="D25" s="97">
        <v>4</v>
      </c>
      <c r="E25" s="91">
        <f>TRUNC(C25*D25,2)</f>
        <v>241.62</v>
      </c>
      <c r="G25" s="385">
        <v>58</v>
      </c>
      <c r="H25" s="385">
        <f>G25*D25</f>
        <v>232</v>
      </c>
      <c r="I25" s="385">
        <v>62.81</v>
      </c>
      <c r="J25" s="385">
        <f>I25*D25</f>
        <v>251.24</v>
      </c>
      <c r="K25" s="385"/>
      <c r="L25" s="385"/>
      <c r="M25" s="386">
        <f>AVERAGE(G25,I25,K25)</f>
        <v>60.405000000000001</v>
      </c>
      <c r="N25" s="387">
        <f>M25*D25</f>
        <v>241.62</v>
      </c>
      <c r="O25" s="386">
        <f>MEDIAN(G25,I25,K25)</f>
        <v>60.405000000000001</v>
      </c>
      <c r="P25" s="387">
        <f>O25*D25</f>
        <v>241.62</v>
      </c>
      <c r="Q25" s="388"/>
      <c r="R25" s="388"/>
    </row>
    <row r="26" spans="1:18" ht="31.5">
      <c r="A26" s="89">
        <v>2</v>
      </c>
      <c r="B26" s="107" t="s">
        <v>283</v>
      </c>
      <c r="C26" s="90">
        <f t="shared" ref="C26:C28" si="17">O26</f>
        <v>51.17</v>
      </c>
      <c r="D26" s="97">
        <v>4</v>
      </c>
      <c r="E26" s="91">
        <f t="shared" ref="E26:E28" si="18">TRUNC(C26*D26,2)</f>
        <v>204.68</v>
      </c>
      <c r="G26" s="385">
        <v>50</v>
      </c>
      <c r="H26" s="385">
        <f t="shared" ref="H26:H28" si="19">G26*D26</f>
        <v>200</v>
      </c>
      <c r="I26" s="385">
        <v>52.34</v>
      </c>
      <c r="J26" s="385">
        <f t="shared" ref="J26:J28" si="20">I26*D26</f>
        <v>209.36</v>
      </c>
      <c r="K26" s="385"/>
      <c r="L26" s="385"/>
      <c r="M26" s="386">
        <f t="shared" ref="M26:M29" si="21">AVERAGE(G26,I26,K26)</f>
        <v>51.17</v>
      </c>
      <c r="N26" s="387">
        <f t="shared" ref="N26:N29" si="22">M26*D26</f>
        <v>204.68</v>
      </c>
      <c r="O26" s="386">
        <f t="shared" ref="O26:O29" si="23">MEDIAN(G26,I26,K26)</f>
        <v>51.17</v>
      </c>
      <c r="P26" s="387">
        <f>O26*D26</f>
        <v>204.68</v>
      </c>
      <c r="Q26" s="388"/>
      <c r="R26" s="388"/>
    </row>
    <row r="27" spans="1:18">
      <c r="A27" s="89">
        <v>3</v>
      </c>
      <c r="B27" s="107" t="s">
        <v>519</v>
      </c>
      <c r="C27" s="90">
        <f t="shared" si="17"/>
        <v>8.7349999999999994</v>
      </c>
      <c r="D27" s="97">
        <v>8</v>
      </c>
      <c r="E27" s="91">
        <f t="shared" si="18"/>
        <v>69.88</v>
      </c>
      <c r="G27" s="385">
        <v>7</v>
      </c>
      <c r="H27" s="385">
        <f t="shared" si="19"/>
        <v>56</v>
      </c>
      <c r="I27" s="385">
        <v>10.47</v>
      </c>
      <c r="J27" s="385">
        <f t="shared" si="20"/>
        <v>83.76</v>
      </c>
      <c r="K27" s="385"/>
      <c r="L27" s="385"/>
      <c r="M27" s="386">
        <f t="shared" si="21"/>
        <v>8.7349999999999994</v>
      </c>
      <c r="N27" s="387">
        <f t="shared" si="22"/>
        <v>69.88</v>
      </c>
      <c r="O27" s="386">
        <f t="shared" si="23"/>
        <v>8.7349999999999994</v>
      </c>
      <c r="P27" s="387">
        <f>O27*D27</f>
        <v>69.88</v>
      </c>
      <c r="Q27" s="388"/>
      <c r="R27" s="388"/>
    </row>
    <row r="28" spans="1:18" ht="31.5">
      <c r="A28" s="89">
        <v>4</v>
      </c>
      <c r="B28" s="107" t="s">
        <v>407</v>
      </c>
      <c r="C28" s="90">
        <f t="shared" si="17"/>
        <v>50.17</v>
      </c>
      <c r="D28" s="97">
        <v>4</v>
      </c>
      <c r="E28" s="91">
        <f t="shared" si="18"/>
        <v>200.68</v>
      </c>
      <c r="G28" s="385">
        <v>48</v>
      </c>
      <c r="H28" s="385">
        <f t="shared" si="19"/>
        <v>192</v>
      </c>
      <c r="I28" s="385">
        <v>52.34</v>
      </c>
      <c r="J28" s="385">
        <f t="shared" si="20"/>
        <v>209.36</v>
      </c>
      <c r="K28" s="385"/>
      <c r="L28" s="385"/>
      <c r="M28" s="386">
        <f t="shared" si="21"/>
        <v>50.17</v>
      </c>
      <c r="N28" s="387">
        <f t="shared" si="22"/>
        <v>200.68</v>
      </c>
      <c r="O28" s="386">
        <f t="shared" si="23"/>
        <v>50.17</v>
      </c>
      <c r="P28" s="387">
        <f>O28*D28</f>
        <v>200.68</v>
      </c>
      <c r="Q28" s="388"/>
      <c r="R28" s="388"/>
    </row>
    <row r="29" spans="1:18">
      <c r="A29" s="671" t="s">
        <v>165</v>
      </c>
      <c r="B29" s="672"/>
      <c r="C29" s="672"/>
      <c r="D29" s="673"/>
      <c r="E29" s="96">
        <f>TRUNC(SUM(E25:E28),2)</f>
        <v>716.86</v>
      </c>
      <c r="G29" s="385"/>
      <c r="H29" s="385"/>
      <c r="I29" s="385"/>
      <c r="J29" s="385"/>
      <c r="K29" s="385"/>
      <c r="L29" s="385"/>
      <c r="M29" s="387" t="e">
        <f t="shared" si="21"/>
        <v>#DIV/0!</v>
      </c>
      <c r="N29" s="387" t="e">
        <f t="shared" si="22"/>
        <v>#DIV/0!</v>
      </c>
      <c r="O29" s="387" t="e">
        <f t="shared" si="23"/>
        <v>#NUM!</v>
      </c>
      <c r="P29" s="387" t="e">
        <f>O29*D29</f>
        <v>#NUM!</v>
      </c>
      <c r="Q29" s="388"/>
      <c r="R29" s="388"/>
    </row>
    <row r="30" spans="1:18">
      <c r="A30" s="690" t="s">
        <v>166</v>
      </c>
      <c r="B30" s="690"/>
      <c r="C30" s="690"/>
      <c r="D30" s="690"/>
      <c r="E30" s="172">
        <f>TRUNC(E29/12,2)</f>
        <v>59.73</v>
      </c>
      <c r="G30"/>
      <c r="H30"/>
      <c r="I30" s="197"/>
    </row>
    <row r="31" spans="1:18">
      <c r="A31" s="347"/>
      <c r="B31" s="196"/>
      <c r="C31" s="196"/>
      <c r="D31" s="196"/>
      <c r="E31" s="197"/>
      <c r="G31"/>
      <c r="H31"/>
      <c r="I31" s="197"/>
    </row>
    <row r="32" spans="1:18" ht="15.75" customHeight="1">
      <c r="A32" s="677" t="s">
        <v>517</v>
      </c>
      <c r="B32" s="678"/>
      <c r="C32" s="678"/>
      <c r="D32" s="678"/>
      <c r="E32" s="679"/>
      <c r="G32" s="684" t="s">
        <v>599</v>
      </c>
      <c r="H32" s="685"/>
      <c r="I32" s="685"/>
      <c r="J32" s="685"/>
      <c r="K32" s="685"/>
      <c r="L32" s="686"/>
      <c r="M32" s="687" t="s">
        <v>596</v>
      </c>
      <c r="N32" s="688"/>
      <c r="O32" s="688"/>
      <c r="P32" s="689"/>
      <c r="Q32" s="383"/>
      <c r="R32" s="383"/>
    </row>
    <row r="33" spans="1:18" ht="47.25">
      <c r="A33" s="169" t="s">
        <v>148</v>
      </c>
      <c r="B33" s="170" t="s">
        <v>167</v>
      </c>
      <c r="C33" s="169" t="s">
        <v>149</v>
      </c>
      <c r="D33" s="171" t="s">
        <v>164</v>
      </c>
      <c r="E33" s="169" t="s">
        <v>150</v>
      </c>
      <c r="G33" s="169" t="s">
        <v>607</v>
      </c>
      <c r="H33" s="169" t="s">
        <v>483</v>
      </c>
      <c r="I33" s="169" t="s">
        <v>600</v>
      </c>
      <c r="J33" s="169" t="s">
        <v>483</v>
      </c>
      <c r="K33" s="169" t="s">
        <v>601</v>
      </c>
      <c r="L33" s="169" t="s">
        <v>483</v>
      </c>
      <c r="M33" s="169" t="s">
        <v>603</v>
      </c>
      <c r="N33" s="169" t="s">
        <v>604</v>
      </c>
      <c r="O33" s="169" t="s">
        <v>605</v>
      </c>
      <c r="P33" s="169" t="s">
        <v>606</v>
      </c>
      <c r="Q33" s="384"/>
      <c r="R33" s="384"/>
    </row>
    <row r="34" spans="1:18" ht="31.5">
      <c r="A34" s="89">
        <v>1</v>
      </c>
      <c r="B34" s="107" t="s">
        <v>516</v>
      </c>
      <c r="C34" s="90">
        <f>O34</f>
        <v>25.52</v>
      </c>
      <c r="D34" s="97">
        <v>4</v>
      </c>
      <c r="E34" s="91">
        <f>TRUNC(C34*D34,2)</f>
        <v>102.08</v>
      </c>
      <c r="G34" s="385">
        <v>46.59</v>
      </c>
      <c r="H34" s="385">
        <f>G34*D34</f>
        <v>186.36</v>
      </c>
      <c r="I34" s="385">
        <v>25.52</v>
      </c>
      <c r="J34" s="385">
        <f>I34*D34</f>
        <v>102.08</v>
      </c>
      <c r="K34" s="385">
        <v>20.37</v>
      </c>
      <c r="L34" s="385">
        <f>K34*D34</f>
        <v>81.48</v>
      </c>
      <c r="M34" s="386">
        <f>AVERAGE(G34,I34,K34)</f>
        <v>30.826666666666668</v>
      </c>
      <c r="N34" s="387">
        <f>M34*D34</f>
        <v>123.30666666666667</v>
      </c>
      <c r="O34" s="386">
        <f>MEDIAN(G34,I34,K34)</f>
        <v>25.52</v>
      </c>
      <c r="P34" s="387">
        <f>O34*D34</f>
        <v>102.08</v>
      </c>
      <c r="Q34" s="388"/>
      <c r="R34" s="388"/>
    </row>
    <row r="35" spans="1:18" ht="31.5">
      <c r="A35" s="89">
        <v>2</v>
      </c>
      <c r="B35" s="107" t="s">
        <v>282</v>
      </c>
      <c r="C35" s="90">
        <f t="shared" ref="C35:C37" si="24">O35</f>
        <v>18.88</v>
      </c>
      <c r="D35" s="97">
        <v>4</v>
      </c>
      <c r="E35" s="91">
        <f t="shared" ref="E35:E36" si="25">TRUNC(C35*D35,2)</f>
        <v>75.52</v>
      </c>
      <c r="G35" s="385">
        <v>49.9</v>
      </c>
      <c r="H35" s="385">
        <f t="shared" ref="H35:H37" si="26">G35*D35</f>
        <v>199.6</v>
      </c>
      <c r="I35" s="385">
        <v>17.63</v>
      </c>
      <c r="J35" s="385">
        <f t="shared" ref="J35:J37" si="27">I35*D35</f>
        <v>70.52</v>
      </c>
      <c r="K35" s="385">
        <v>18.88</v>
      </c>
      <c r="L35" s="385">
        <f t="shared" ref="L35:L37" si="28">K35*D35</f>
        <v>75.52</v>
      </c>
      <c r="M35" s="386">
        <f t="shared" ref="M35:M37" si="29">AVERAGE(G35,I35,K35)</f>
        <v>28.803333333333331</v>
      </c>
      <c r="N35" s="387">
        <f t="shared" ref="N35:N37" si="30">M35*D35</f>
        <v>115.21333333333332</v>
      </c>
      <c r="O35" s="386">
        <f t="shared" ref="O35:O37" si="31">MEDIAN(G35,I35,K35)</f>
        <v>18.88</v>
      </c>
      <c r="P35" s="387">
        <f>O35*D35</f>
        <v>75.52</v>
      </c>
      <c r="Q35" s="388"/>
      <c r="R35" s="388"/>
    </row>
    <row r="36" spans="1:18" ht="31.5">
      <c r="A36" s="89">
        <v>3</v>
      </c>
      <c r="B36" s="107" t="s">
        <v>404</v>
      </c>
      <c r="C36" s="90">
        <f t="shared" si="24"/>
        <v>4.5</v>
      </c>
      <c r="D36" s="97">
        <v>8</v>
      </c>
      <c r="E36" s="91">
        <f t="shared" si="25"/>
        <v>36</v>
      </c>
      <c r="G36" s="385">
        <v>7</v>
      </c>
      <c r="H36" s="385">
        <f t="shared" si="26"/>
        <v>56</v>
      </c>
      <c r="I36" s="385">
        <v>4.5</v>
      </c>
      <c r="J36" s="385">
        <f t="shared" si="27"/>
        <v>36</v>
      </c>
      <c r="K36" s="385">
        <v>4</v>
      </c>
      <c r="L36" s="385">
        <f t="shared" si="28"/>
        <v>32</v>
      </c>
      <c r="M36" s="386">
        <f t="shared" si="29"/>
        <v>5.166666666666667</v>
      </c>
      <c r="N36" s="387">
        <f t="shared" si="30"/>
        <v>41.333333333333336</v>
      </c>
      <c r="O36" s="386">
        <f t="shared" si="31"/>
        <v>4.5</v>
      </c>
      <c r="P36" s="387">
        <f>O36*D36</f>
        <v>36</v>
      </c>
      <c r="Q36" s="388"/>
      <c r="R36" s="388"/>
    </row>
    <row r="37" spans="1:18" ht="31.5">
      <c r="A37" s="89">
        <v>4</v>
      </c>
      <c r="B37" s="107" t="s">
        <v>407</v>
      </c>
      <c r="C37" s="90">
        <f t="shared" si="24"/>
        <v>45.19</v>
      </c>
      <c r="D37" s="97">
        <v>4</v>
      </c>
      <c r="E37" s="91">
        <f>TRUNC(C37*D37,2)</f>
        <v>180.76</v>
      </c>
      <c r="G37" s="385">
        <v>33.369999999999997</v>
      </c>
      <c r="H37" s="385">
        <f t="shared" si="26"/>
        <v>133.47999999999999</v>
      </c>
      <c r="I37" s="385">
        <v>45.19</v>
      </c>
      <c r="J37" s="385">
        <f t="shared" si="27"/>
        <v>180.76</v>
      </c>
      <c r="K37" s="385">
        <v>50.63</v>
      </c>
      <c r="L37" s="385">
        <f t="shared" si="28"/>
        <v>202.52</v>
      </c>
      <c r="M37" s="386">
        <f t="shared" si="29"/>
        <v>43.063333333333333</v>
      </c>
      <c r="N37" s="387">
        <f t="shared" si="30"/>
        <v>172.25333333333333</v>
      </c>
      <c r="O37" s="386">
        <f t="shared" si="31"/>
        <v>45.19</v>
      </c>
      <c r="P37" s="387">
        <f>O37*D37</f>
        <v>180.76</v>
      </c>
      <c r="Q37" s="388"/>
      <c r="R37" s="388"/>
    </row>
    <row r="38" spans="1:18">
      <c r="A38" s="671" t="s">
        <v>165</v>
      </c>
      <c r="B38" s="672"/>
      <c r="C38" s="672"/>
      <c r="D38" s="673"/>
      <c r="E38" s="96">
        <f>TRUNC(SUM(E34:E37),2)</f>
        <v>394.36</v>
      </c>
      <c r="G38" s="385"/>
      <c r="H38" s="385"/>
      <c r="I38" s="385"/>
      <c r="J38" s="385"/>
      <c r="K38" s="385"/>
      <c r="L38" s="385"/>
      <c r="M38" s="387"/>
      <c r="N38" s="387"/>
      <c r="O38" s="387"/>
      <c r="P38" s="387"/>
      <c r="Q38" s="388"/>
      <c r="R38" s="388"/>
    </row>
    <row r="39" spans="1:18" ht="15.75" customHeight="1">
      <c r="A39" s="674" t="s">
        <v>166</v>
      </c>
      <c r="B39" s="675"/>
      <c r="C39" s="675"/>
      <c r="D39" s="676"/>
      <c r="E39" s="172">
        <f>TRUNC(E38/12,2)</f>
        <v>32.86</v>
      </c>
      <c r="G39" s="389"/>
      <c r="H39" s="389"/>
      <c r="I39" s="389"/>
      <c r="J39" s="389"/>
      <c r="K39" s="389"/>
      <c r="L39" s="389"/>
      <c r="M39" s="388"/>
      <c r="N39" s="388"/>
      <c r="O39" s="388"/>
      <c r="P39" s="388"/>
      <c r="Q39" s="388"/>
      <c r="R39" s="388"/>
    </row>
    <row r="40" spans="1:18" ht="15.75" customHeight="1">
      <c r="A40" s="92"/>
      <c r="B40" s="92"/>
      <c r="C40" s="92"/>
      <c r="D40" s="92"/>
      <c r="G40" s="389"/>
      <c r="H40" s="389"/>
      <c r="I40" s="389"/>
      <c r="J40" s="389"/>
      <c r="K40" s="389"/>
      <c r="L40" s="389"/>
      <c r="M40" s="388"/>
      <c r="N40" s="388"/>
      <c r="O40" s="388"/>
      <c r="P40" s="388"/>
      <c r="Q40" s="388"/>
      <c r="R40" s="388"/>
    </row>
    <row r="41" spans="1:18" ht="15.75" customHeight="1">
      <c r="A41" s="677" t="s">
        <v>365</v>
      </c>
      <c r="B41" s="678"/>
      <c r="C41" s="678"/>
      <c r="D41" s="678"/>
      <c r="E41" s="679"/>
      <c r="G41" s="660" t="s">
        <v>599</v>
      </c>
      <c r="H41" s="660"/>
      <c r="I41" s="660"/>
      <c r="J41" s="660"/>
      <c r="K41" s="660" t="s">
        <v>609</v>
      </c>
      <c r="L41" s="660"/>
      <c r="M41" s="652" t="s">
        <v>596</v>
      </c>
      <c r="N41" s="653"/>
      <c r="O41" s="653"/>
      <c r="P41" s="654"/>
      <c r="Q41" s="383"/>
      <c r="R41" s="383"/>
    </row>
    <row r="42" spans="1:18" ht="47.25">
      <c r="A42" s="171" t="s">
        <v>148</v>
      </c>
      <c r="B42" s="294" t="s">
        <v>167</v>
      </c>
      <c r="C42" s="171" t="s">
        <v>149</v>
      </c>
      <c r="D42" s="171" t="s">
        <v>164</v>
      </c>
      <c r="E42" s="171" t="s">
        <v>150</v>
      </c>
      <c r="G42" s="169" t="s">
        <v>610</v>
      </c>
      <c r="H42" s="169" t="s">
        <v>483</v>
      </c>
      <c r="I42" s="169" t="s">
        <v>611</v>
      </c>
      <c r="J42" s="169" t="s">
        <v>483</v>
      </c>
      <c r="K42" s="169" t="s">
        <v>612</v>
      </c>
      <c r="L42" s="169" t="s">
        <v>483</v>
      </c>
      <c r="M42" s="169" t="s">
        <v>603</v>
      </c>
      <c r="N42" s="169" t="s">
        <v>604</v>
      </c>
      <c r="O42" s="169" t="s">
        <v>605</v>
      </c>
      <c r="P42" s="169" t="s">
        <v>606</v>
      </c>
      <c r="Q42" s="384"/>
      <c r="R42" s="384"/>
    </row>
    <row r="43" spans="1:18" ht="47.25">
      <c r="A43" s="89">
        <v>1</v>
      </c>
      <c r="B43" s="348" t="s">
        <v>401</v>
      </c>
      <c r="C43" s="410">
        <f>O43</f>
        <v>31</v>
      </c>
      <c r="D43" s="89">
        <v>4</v>
      </c>
      <c r="E43" s="91">
        <f t="shared" ref="E43:E49" si="32">TRUNC(C43*D43,2)</f>
        <v>124</v>
      </c>
      <c r="G43" s="385">
        <v>31</v>
      </c>
      <c r="H43" s="385">
        <f>G43*D43</f>
        <v>124</v>
      </c>
      <c r="I43" s="385">
        <v>27.08</v>
      </c>
      <c r="J43" s="385">
        <f>I43*D43</f>
        <v>108.32</v>
      </c>
      <c r="K43" s="385">
        <v>58.53</v>
      </c>
      <c r="L43" s="385">
        <f>K43*D43</f>
        <v>234.12</v>
      </c>
      <c r="M43" s="386">
        <f>AVERAGE(G43,I43,K43)</f>
        <v>38.869999999999997</v>
      </c>
      <c r="N43" s="387">
        <f>M43*D43</f>
        <v>155.47999999999999</v>
      </c>
      <c r="O43" s="386">
        <f>MEDIAN(G43,I43,K43)</f>
        <v>31</v>
      </c>
      <c r="P43" s="387">
        <f t="shared" ref="P43:P49" si="33">O43*D43</f>
        <v>124</v>
      </c>
      <c r="Q43" s="388"/>
      <c r="R43" s="388"/>
    </row>
    <row r="44" spans="1:18" ht="31.5">
      <c r="A44" s="89">
        <v>2</v>
      </c>
      <c r="B44" s="348" t="s">
        <v>521</v>
      </c>
      <c r="C44" s="410">
        <f t="shared" ref="C44:C49" si="34">O44</f>
        <v>75.27</v>
      </c>
      <c r="D44" s="89">
        <v>4</v>
      </c>
      <c r="E44" s="91">
        <f t="shared" si="32"/>
        <v>301.08</v>
      </c>
      <c r="G44" s="385">
        <v>76</v>
      </c>
      <c r="H44" s="385">
        <f t="shared" ref="H44:H49" si="35">G44*D44</f>
        <v>304</v>
      </c>
      <c r="I44" s="385">
        <v>44.14</v>
      </c>
      <c r="J44" s="385">
        <f t="shared" ref="J44:J49" si="36">I44*D44</f>
        <v>176.56</v>
      </c>
      <c r="K44" s="385">
        <v>75.27</v>
      </c>
      <c r="L44" s="385">
        <f t="shared" ref="L44:L49" si="37">K44*D44</f>
        <v>301.08</v>
      </c>
      <c r="M44" s="386">
        <f t="shared" ref="M44:M49" si="38">AVERAGE(G44,I44,K44)</f>
        <v>65.13666666666667</v>
      </c>
      <c r="N44" s="387">
        <f t="shared" ref="N44:N49" si="39">M44*D44</f>
        <v>260.54666666666668</v>
      </c>
      <c r="O44" s="386">
        <f t="shared" ref="O44:O49" si="40">MEDIAN(G44,I44,K44)</f>
        <v>75.27</v>
      </c>
      <c r="P44" s="387">
        <f t="shared" si="33"/>
        <v>301.08</v>
      </c>
      <c r="Q44" s="388"/>
      <c r="R44" s="388"/>
    </row>
    <row r="45" spans="1:18">
      <c r="A45" s="89">
        <v>3</v>
      </c>
      <c r="B45" s="348" t="s">
        <v>402</v>
      </c>
      <c r="C45" s="410">
        <f t="shared" si="34"/>
        <v>194.59</v>
      </c>
      <c r="D45" s="89">
        <v>1</v>
      </c>
      <c r="E45" s="91">
        <f t="shared" si="32"/>
        <v>194.59</v>
      </c>
      <c r="G45" s="385">
        <v>321.63</v>
      </c>
      <c r="H45" s="385">
        <f t="shared" si="35"/>
        <v>321.63</v>
      </c>
      <c r="I45" s="385">
        <v>66.8</v>
      </c>
      <c r="J45" s="385">
        <f t="shared" si="36"/>
        <v>66.8</v>
      </c>
      <c r="K45" s="385">
        <v>194.59</v>
      </c>
      <c r="L45" s="385">
        <f t="shared" si="37"/>
        <v>194.59</v>
      </c>
      <c r="M45" s="386">
        <f t="shared" si="38"/>
        <v>194.34</v>
      </c>
      <c r="N45" s="387">
        <f t="shared" si="39"/>
        <v>194.34</v>
      </c>
      <c r="O45" s="386">
        <f t="shared" si="40"/>
        <v>194.59</v>
      </c>
      <c r="P45" s="387">
        <f t="shared" si="33"/>
        <v>194.59</v>
      </c>
      <c r="Q45" s="388"/>
      <c r="R45" s="388"/>
    </row>
    <row r="46" spans="1:18">
      <c r="A46" s="89">
        <v>4</v>
      </c>
      <c r="B46" s="348" t="s">
        <v>403</v>
      </c>
      <c r="C46" s="410">
        <f t="shared" si="34"/>
        <v>6</v>
      </c>
      <c r="D46" s="89">
        <v>8</v>
      </c>
      <c r="E46" s="91">
        <f t="shared" si="32"/>
        <v>48</v>
      </c>
      <c r="G46" s="385">
        <v>2</v>
      </c>
      <c r="H46" s="385">
        <f t="shared" si="35"/>
        <v>16</v>
      </c>
      <c r="I46" s="385">
        <v>6</v>
      </c>
      <c r="J46" s="385">
        <f t="shared" si="36"/>
        <v>48</v>
      </c>
      <c r="K46" s="385">
        <v>15</v>
      </c>
      <c r="L46" s="385">
        <f t="shared" si="37"/>
        <v>120</v>
      </c>
      <c r="M46" s="386">
        <f t="shared" si="38"/>
        <v>7.666666666666667</v>
      </c>
      <c r="N46" s="387">
        <f t="shared" si="39"/>
        <v>61.333333333333336</v>
      </c>
      <c r="O46" s="386">
        <f t="shared" si="40"/>
        <v>6</v>
      </c>
      <c r="P46" s="387">
        <f t="shared" si="33"/>
        <v>48</v>
      </c>
      <c r="Q46" s="388"/>
      <c r="R46" s="388"/>
    </row>
    <row r="47" spans="1:18" ht="36" customHeight="1">
      <c r="A47" s="89">
        <v>5</v>
      </c>
      <c r="B47" s="348" t="s">
        <v>408</v>
      </c>
      <c r="C47" s="410">
        <f t="shared" si="34"/>
        <v>101</v>
      </c>
      <c r="D47" s="89">
        <v>1</v>
      </c>
      <c r="E47" s="91">
        <f t="shared" si="32"/>
        <v>101</v>
      </c>
      <c r="G47" s="385">
        <v>208</v>
      </c>
      <c r="H47" s="385">
        <f t="shared" si="35"/>
        <v>208</v>
      </c>
      <c r="I47" s="385">
        <v>65.61</v>
      </c>
      <c r="J47" s="385">
        <f t="shared" si="36"/>
        <v>65.61</v>
      </c>
      <c r="K47" s="385">
        <v>101</v>
      </c>
      <c r="L47" s="385">
        <f t="shared" si="37"/>
        <v>101</v>
      </c>
      <c r="M47" s="386">
        <f t="shared" si="38"/>
        <v>124.87</v>
      </c>
      <c r="N47" s="387">
        <f t="shared" si="39"/>
        <v>124.87</v>
      </c>
      <c r="O47" s="386">
        <f t="shared" si="40"/>
        <v>101</v>
      </c>
      <c r="P47" s="387">
        <f t="shared" si="33"/>
        <v>101</v>
      </c>
      <c r="Q47" s="388"/>
      <c r="R47" s="388"/>
    </row>
    <row r="48" spans="1:18" ht="16.5" customHeight="1">
      <c r="A48" s="89"/>
      <c r="B48" s="348" t="s">
        <v>522</v>
      </c>
      <c r="C48" s="410">
        <f t="shared" si="34"/>
        <v>9.2750000000000004</v>
      </c>
      <c r="D48" s="89"/>
      <c r="E48" s="91"/>
      <c r="G48" s="385">
        <v>7</v>
      </c>
      <c r="H48" s="385">
        <f t="shared" si="35"/>
        <v>0</v>
      </c>
      <c r="I48" s="385">
        <v>11.55</v>
      </c>
      <c r="J48" s="385">
        <f t="shared" si="36"/>
        <v>0</v>
      </c>
      <c r="K48" s="385"/>
      <c r="L48" s="385">
        <f t="shared" si="37"/>
        <v>0</v>
      </c>
      <c r="M48" s="386">
        <f t="shared" si="38"/>
        <v>9.2750000000000004</v>
      </c>
      <c r="N48" s="387">
        <f t="shared" si="39"/>
        <v>0</v>
      </c>
      <c r="O48" s="386">
        <f t="shared" si="40"/>
        <v>9.2750000000000004</v>
      </c>
      <c r="P48" s="387">
        <f t="shared" si="33"/>
        <v>0</v>
      </c>
      <c r="Q48" s="388"/>
      <c r="R48" s="388"/>
    </row>
    <row r="49" spans="1:18" ht="31.5">
      <c r="A49" s="89">
        <v>6</v>
      </c>
      <c r="B49" s="348" t="s">
        <v>520</v>
      </c>
      <c r="C49" s="410">
        <f t="shared" si="34"/>
        <v>13.23</v>
      </c>
      <c r="D49" s="89">
        <v>2</v>
      </c>
      <c r="E49" s="91">
        <f t="shared" si="32"/>
        <v>26.46</v>
      </c>
      <c r="G49" s="385">
        <v>35.369999999999997</v>
      </c>
      <c r="H49" s="385">
        <f t="shared" si="35"/>
        <v>70.739999999999995</v>
      </c>
      <c r="I49" s="385">
        <v>13.1</v>
      </c>
      <c r="J49" s="385">
        <f t="shared" si="36"/>
        <v>26.2</v>
      </c>
      <c r="K49" s="385">
        <v>13.23</v>
      </c>
      <c r="L49" s="385">
        <f t="shared" si="37"/>
        <v>26.46</v>
      </c>
      <c r="M49" s="386">
        <f t="shared" si="38"/>
        <v>20.566666666666666</v>
      </c>
      <c r="N49" s="387">
        <f t="shared" si="39"/>
        <v>41.133333333333333</v>
      </c>
      <c r="O49" s="386">
        <f t="shared" si="40"/>
        <v>13.23</v>
      </c>
      <c r="P49" s="387">
        <f t="shared" si="33"/>
        <v>26.46</v>
      </c>
      <c r="Q49" s="388"/>
      <c r="R49" s="388"/>
    </row>
    <row r="50" spans="1:18">
      <c r="A50" s="671" t="s">
        <v>165</v>
      </c>
      <c r="B50" s="672"/>
      <c r="C50" s="672"/>
      <c r="D50" s="673"/>
      <c r="E50" s="96">
        <f>TRUNC(SUM(E43:E49),2)</f>
        <v>795.13</v>
      </c>
      <c r="G50" s="390" t="s">
        <v>613</v>
      </c>
      <c r="H50"/>
      <c r="I50" s="197"/>
    </row>
    <row r="51" spans="1:18" ht="15.75" customHeight="1">
      <c r="A51" s="674" t="s">
        <v>166</v>
      </c>
      <c r="B51" s="675"/>
      <c r="C51" s="675"/>
      <c r="D51" s="676"/>
      <c r="E51" s="172">
        <f>TRUNC(E50/12,2)</f>
        <v>66.260000000000005</v>
      </c>
      <c r="G51"/>
      <c r="H51"/>
      <c r="I51" s="197"/>
    </row>
    <row r="52" spans="1:18" ht="15.75" customHeight="1">
      <c r="A52" s="92"/>
      <c r="B52" s="92"/>
      <c r="C52" s="92"/>
      <c r="D52" s="92"/>
      <c r="E52" s="293"/>
      <c r="G52" s="92"/>
      <c r="H52" s="92"/>
    </row>
    <row r="53" spans="1:18" ht="15.75" customHeight="1">
      <c r="A53" s="677" t="s">
        <v>366</v>
      </c>
      <c r="B53" s="678"/>
      <c r="C53" s="678"/>
      <c r="D53" s="678"/>
      <c r="E53" s="679"/>
      <c r="G53" s="655" t="s">
        <v>599</v>
      </c>
      <c r="H53" s="656"/>
      <c r="I53" s="656"/>
      <c r="J53" s="656"/>
      <c r="K53" s="656"/>
      <c r="L53" s="657"/>
      <c r="M53" s="652" t="s">
        <v>596</v>
      </c>
      <c r="N53" s="653"/>
      <c r="O53" s="653"/>
      <c r="P53" s="654"/>
      <c r="Q53" s="383"/>
      <c r="R53" s="383"/>
    </row>
    <row r="54" spans="1:18" ht="47.25">
      <c r="A54" s="169" t="s">
        <v>148</v>
      </c>
      <c r="B54" s="169" t="s">
        <v>532</v>
      </c>
      <c r="C54" s="169" t="s">
        <v>149</v>
      </c>
      <c r="D54" s="169" t="s">
        <v>164</v>
      </c>
      <c r="E54" s="169" t="s">
        <v>150</v>
      </c>
      <c r="G54" s="169" t="s">
        <v>614</v>
      </c>
      <c r="H54" s="169" t="s">
        <v>483</v>
      </c>
      <c r="I54" s="169" t="s">
        <v>615</v>
      </c>
      <c r="J54" s="169" t="s">
        <v>483</v>
      </c>
      <c r="K54" s="169" t="s">
        <v>616</v>
      </c>
      <c r="L54" s="169" t="s">
        <v>483</v>
      </c>
      <c r="M54" s="169" t="s">
        <v>603</v>
      </c>
      <c r="N54" s="169" t="s">
        <v>604</v>
      </c>
      <c r="O54" s="169" t="s">
        <v>605</v>
      </c>
      <c r="P54" s="169" t="s">
        <v>606</v>
      </c>
      <c r="Q54" s="384"/>
      <c r="R54" s="384"/>
    </row>
    <row r="55" spans="1:18">
      <c r="A55" s="89">
        <v>1</v>
      </c>
      <c r="B55" s="348" t="s">
        <v>419</v>
      </c>
      <c r="C55" s="410">
        <f>O55</f>
        <v>37.450000000000003</v>
      </c>
      <c r="D55" s="89">
        <v>4</v>
      </c>
      <c r="E55" s="91">
        <f t="shared" ref="E55:E62" si="41">TRUNC(C55*D55,2)</f>
        <v>149.80000000000001</v>
      </c>
      <c r="G55" s="385">
        <v>50.1</v>
      </c>
      <c r="H55" s="385">
        <f>G55*D55</f>
        <v>200.4</v>
      </c>
      <c r="I55" s="385">
        <v>25</v>
      </c>
      <c r="J55" s="385">
        <f>I55*D55</f>
        <v>100</v>
      </c>
      <c r="K55" s="385">
        <v>37.450000000000003</v>
      </c>
      <c r="L55" s="385">
        <f>K55*D55</f>
        <v>149.80000000000001</v>
      </c>
      <c r="M55" s="386">
        <f>AVERAGE(G55,I55,K55)</f>
        <v>37.516666666666666</v>
      </c>
      <c r="N55" s="387">
        <f>M55*D55</f>
        <v>150.06666666666666</v>
      </c>
      <c r="O55" s="386">
        <f>MEDIAN(G55,I55,K55)</f>
        <v>37.450000000000003</v>
      </c>
      <c r="P55" s="387">
        <f t="shared" ref="P55:P62" si="42">O55*D55</f>
        <v>149.80000000000001</v>
      </c>
      <c r="Q55" s="388"/>
      <c r="R55" s="388"/>
    </row>
    <row r="56" spans="1:18">
      <c r="A56" s="89">
        <v>2</v>
      </c>
      <c r="B56" s="348" t="s">
        <v>420</v>
      </c>
      <c r="C56" s="410">
        <f t="shared" ref="C56:C62" si="43">O56</f>
        <v>110.57</v>
      </c>
      <c r="D56" s="89">
        <v>4</v>
      </c>
      <c r="E56" s="91">
        <f t="shared" si="41"/>
        <v>442.28</v>
      </c>
      <c r="G56" s="385">
        <v>144.72999999999999</v>
      </c>
      <c r="H56" s="385">
        <f t="shared" ref="H56:H62" si="44">G56*D56</f>
        <v>578.91999999999996</v>
      </c>
      <c r="I56" s="385">
        <v>82.5</v>
      </c>
      <c r="J56" s="385">
        <f t="shared" ref="J56:J62" si="45">I56*D56</f>
        <v>330</v>
      </c>
      <c r="K56" s="385">
        <v>110.57</v>
      </c>
      <c r="L56" s="385">
        <f t="shared" ref="L56:L62" si="46">K56*D56</f>
        <v>442.28</v>
      </c>
      <c r="M56" s="386">
        <f t="shared" ref="M56:M62" si="47">AVERAGE(G56,I56,K56)</f>
        <v>112.59999999999998</v>
      </c>
      <c r="N56" s="387">
        <f t="shared" ref="N56:N62" si="48">M56*D56</f>
        <v>450.39999999999992</v>
      </c>
      <c r="O56" s="386">
        <f t="shared" ref="O56:O62" si="49">MEDIAN(G56,I56,K56)</f>
        <v>110.57</v>
      </c>
      <c r="P56" s="387">
        <f t="shared" si="42"/>
        <v>442.28</v>
      </c>
      <c r="Q56" s="388"/>
      <c r="R56" s="388"/>
    </row>
    <row r="57" spans="1:18" ht="47.25">
      <c r="A57" s="89">
        <v>3</v>
      </c>
      <c r="B57" s="348" t="s">
        <v>426</v>
      </c>
      <c r="C57" s="410">
        <f t="shared" si="43"/>
        <v>12.14</v>
      </c>
      <c r="D57" s="89">
        <v>4</v>
      </c>
      <c r="E57" s="91">
        <f t="shared" si="41"/>
        <v>48.56</v>
      </c>
      <c r="G57" s="385">
        <v>12.14</v>
      </c>
      <c r="H57" s="385">
        <f t="shared" si="44"/>
        <v>48.56</v>
      </c>
      <c r="I57" s="385">
        <v>7.5</v>
      </c>
      <c r="J57" s="385">
        <f t="shared" si="45"/>
        <v>30</v>
      </c>
      <c r="K57" s="385">
        <v>14.37</v>
      </c>
      <c r="L57" s="385">
        <f t="shared" si="46"/>
        <v>57.48</v>
      </c>
      <c r="M57" s="386">
        <f t="shared" si="47"/>
        <v>11.336666666666666</v>
      </c>
      <c r="N57" s="387">
        <f t="shared" si="48"/>
        <v>45.346666666666664</v>
      </c>
      <c r="O57" s="386">
        <f t="shared" si="49"/>
        <v>12.14</v>
      </c>
      <c r="P57" s="387">
        <f t="shared" si="42"/>
        <v>48.56</v>
      </c>
      <c r="Q57" s="388"/>
      <c r="R57" s="388"/>
    </row>
    <row r="58" spans="1:18" ht="15.75" customHeight="1">
      <c r="A58" s="89">
        <v>4</v>
      </c>
      <c r="B58" s="348" t="s">
        <v>421</v>
      </c>
      <c r="C58" s="410">
        <f t="shared" si="43"/>
        <v>141.52000000000001</v>
      </c>
      <c r="D58" s="89">
        <v>4</v>
      </c>
      <c r="E58" s="91">
        <f t="shared" si="41"/>
        <v>566.08000000000004</v>
      </c>
      <c r="G58" s="385">
        <v>151.54</v>
      </c>
      <c r="H58" s="385">
        <f t="shared" si="44"/>
        <v>606.16</v>
      </c>
      <c r="I58" s="385">
        <v>106</v>
      </c>
      <c r="J58" s="385">
        <f t="shared" si="45"/>
        <v>424</v>
      </c>
      <c r="K58" s="385">
        <v>141.52000000000001</v>
      </c>
      <c r="L58" s="385">
        <f t="shared" si="46"/>
        <v>566.08000000000004</v>
      </c>
      <c r="M58" s="386">
        <f t="shared" si="47"/>
        <v>133.01999999999998</v>
      </c>
      <c r="N58" s="387">
        <f t="shared" si="48"/>
        <v>532.07999999999993</v>
      </c>
      <c r="O58" s="386">
        <f t="shared" si="49"/>
        <v>141.52000000000001</v>
      </c>
      <c r="P58" s="387">
        <f t="shared" si="42"/>
        <v>566.08000000000004</v>
      </c>
      <c r="Q58" s="388"/>
      <c r="R58" s="388"/>
    </row>
    <row r="59" spans="1:18">
      <c r="A59" s="89">
        <v>5</v>
      </c>
      <c r="B59" s="348" t="s">
        <v>422</v>
      </c>
      <c r="C59" s="410">
        <f t="shared" si="43"/>
        <v>100.85499999999999</v>
      </c>
      <c r="D59" s="89">
        <v>2</v>
      </c>
      <c r="E59" s="91">
        <f t="shared" si="41"/>
        <v>201.71</v>
      </c>
      <c r="G59" s="385"/>
      <c r="H59" s="385">
        <f t="shared" si="44"/>
        <v>0</v>
      </c>
      <c r="I59" s="385">
        <v>77.5</v>
      </c>
      <c r="J59" s="385">
        <f t="shared" si="45"/>
        <v>155</v>
      </c>
      <c r="K59" s="385">
        <v>124.21</v>
      </c>
      <c r="L59" s="385">
        <f t="shared" si="46"/>
        <v>248.42</v>
      </c>
      <c r="M59" s="386">
        <f t="shared" si="47"/>
        <v>100.85499999999999</v>
      </c>
      <c r="N59" s="387">
        <f t="shared" si="48"/>
        <v>201.70999999999998</v>
      </c>
      <c r="O59" s="386">
        <f t="shared" si="49"/>
        <v>100.85499999999999</v>
      </c>
      <c r="P59" s="387">
        <f t="shared" si="42"/>
        <v>201.70999999999998</v>
      </c>
      <c r="Q59" s="388"/>
      <c r="R59" s="388"/>
    </row>
    <row r="60" spans="1:18" ht="110.25">
      <c r="A60" s="89">
        <v>6</v>
      </c>
      <c r="B60" s="348" t="s">
        <v>425</v>
      </c>
      <c r="C60" s="410">
        <f t="shared" si="43"/>
        <v>190.65</v>
      </c>
      <c r="D60" s="89">
        <v>4</v>
      </c>
      <c r="E60" s="91">
        <f t="shared" si="41"/>
        <v>762.6</v>
      </c>
      <c r="G60" s="385">
        <v>289.23</v>
      </c>
      <c r="H60" s="385">
        <f t="shared" si="44"/>
        <v>1156.92</v>
      </c>
      <c r="I60" s="385">
        <v>190</v>
      </c>
      <c r="J60" s="385">
        <f t="shared" si="45"/>
        <v>760</v>
      </c>
      <c r="K60" s="385">
        <v>190.65</v>
      </c>
      <c r="L60" s="385">
        <f t="shared" si="46"/>
        <v>762.6</v>
      </c>
      <c r="M60" s="386">
        <f t="shared" si="47"/>
        <v>223.29333333333332</v>
      </c>
      <c r="N60" s="387">
        <f t="shared" si="48"/>
        <v>893.17333333333329</v>
      </c>
      <c r="O60" s="386">
        <f t="shared" si="49"/>
        <v>190.65</v>
      </c>
      <c r="P60" s="387">
        <f t="shared" si="42"/>
        <v>762.6</v>
      </c>
      <c r="Q60" s="388"/>
      <c r="R60" s="388"/>
    </row>
    <row r="61" spans="1:18">
      <c r="A61" s="89">
        <v>7</v>
      </c>
      <c r="B61" s="348" t="s">
        <v>423</v>
      </c>
      <c r="C61" s="410">
        <f t="shared" si="43"/>
        <v>18.600000000000001</v>
      </c>
      <c r="D61" s="89">
        <v>2</v>
      </c>
      <c r="E61" s="91">
        <f t="shared" si="41"/>
        <v>37.200000000000003</v>
      </c>
      <c r="G61" s="385">
        <v>35</v>
      </c>
      <c r="H61" s="385">
        <f t="shared" si="44"/>
        <v>70</v>
      </c>
      <c r="I61" s="385">
        <v>10</v>
      </c>
      <c r="J61" s="385">
        <f t="shared" si="45"/>
        <v>20</v>
      </c>
      <c r="K61" s="385">
        <v>18.600000000000001</v>
      </c>
      <c r="L61" s="385">
        <f t="shared" si="46"/>
        <v>37.200000000000003</v>
      </c>
      <c r="M61" s="386">
        <f t="shared" si="47"/>
        <v>21.2</v>
      </c>
      <c r="N61" s="387">
        <f t="shared" si="48"/>
        <v>42.4</v>
      </c>
      <c r="O61" s="386">
        <f t="shared" si="49"/>
        <v>18.600000000000001</v>
      </c>
      <c r="P61" s="387">
        <f t="shared" si="42"/>
        <v>37.200000000000003</v>
      </c>
      <c r="Q61" s="388"/>
      <c r="R61" s="388"/>
    </row>
    <row r="62" spans="1:18" ht="15" customHeight="1">
      <c r="A62" s="89">
        <v>8</v>
      </c>
      <c r="B62" s="348" t="s">
        <v>424</v>
      </c>
      <c r="C62" s="410">
        <f t="shared" si="43"/>
        <v>113.77</v>
      </c>
      <c r="D62" s="89">
        <v>2</v>
      </c>
      <c r="E62" s="91">
        <f t="shared" si="41"/>
        <v>227.54</v>
      </c>
      <c r="G62" s="393">
        <v>35.43</v>
      </c>
      <c r="H62" s="385">
        <f t="shared" si="44"/>
        <v>70.86</v>
      </c>
      <c r="I62" s="394">
        <v>153.5</v>
      </c>
      <c r="J62" s="385">
        <f t="shared" si="45"/>
        <v>307</v>
      </c>
      <c r="K62" s="394">
        <v>113.77</v>
      </c>
      <c r="L62" s="385">
        <f t="shared" si="46"/>
        <v>227.54</v>
      </c>
      <c r="M62" s="386">
        <f t="shared" si="47"/>
        <v>100.89999999999999</v>
      </c>
      <c r="N62" s="387">
        <f t="shared" si="48"/>
        <v>201.79999999999998</v>
      </c>
      <c r="O62" s="386">
        <f t="shared" si="49"/>
        <v>113.77</v>
      </c>
      <c r="P62" s="387">
        <f t="shared" si="42"/>
        <v>227.54</v>
      </c>
      <c r="Q62" s="388"/>
      <c r="R62" s="388"/>
    </row>
    <row r="63" spans="1:18">
      <c r="A63" s="671" t="s">
        <v>165</v>
      </c>
      <c r="B63" s="672"/>
      <c r="C63" s="672"/>
      <c r="D63" s="673"/>
      <c r="E63" s="96">
        <f>TRUNC(SUM(E55:E62),2)</f>
        <v>2435.77</v>
      </c>
      <c r="G63"/>
      <c r="H63"/>
      <c r="I63" s="197"/>
    </row>
    <row r="64" spans="1:18" ht="15.75" customHeight="1">
      <c r="A64" s="674" t="s">
        <v>166</v>
      </c>
      <c r="B64" s="675"/>
      <c r="C64" s="675"/>
      <c r="D64" s="676"/>
      <c r="E64" s="172">
        <f>TRUNC(E63/12,2)</f>
        <v>202.98</v>
      </c>
      <c r="G64"/>
      <c r="H64"/>
      <c r="I64" s="197"/>
    </row>
    <row r="65" spans="1:22" ht="15.75" customHeight="1">
      <c r="A65" s="92"/>
      <c r="B65" s="351" t="s">
        <v>548</v>
      </c>
      <c r="C65" s="92"/>
      <c r="D65" s="92"/>
      <c r="G65" s="92"/>
      <c r="H65" s="92"/>
    </row>
    <row r="66" spans="1:22" ht="15.75" customHeight="1" thickBot="1">
      <c r="A66" s="92"/>
      <c r="B66" s="92"/>
      <c r="C66" s="92"/>
      <c r="D66" s="92"/>
      <c r="G66" s="92"/>
      <c r="H66" s="92"/>
    </row>
    <row r="67" spans="1:22" ht="27.75" customHeight="1" thickBot="1">
      <c r="A67" s="680" t="s">
        <v>367</v>
      </c>
      <c r="B67" s="681"/>
      <c r="C67" s="681"/>
      <c r="D67" s="681"/>
      <c r="E67" s="681"/>
      <c r="F67" s="681"/>
      <c r="G67" s="681"/>
      <c r="H67" s="681"/>
      <c r="I67" s="681"/>
      <c r="J67" s="381"/>
    </row>
    <row r="68" spans="1:22" ht="12" customHeight="1">
      <c r="A68" s="658"/>
      <c r="B68" s="658"/>
      <c r="C68" s="658"/>
      <c r="D68" s="658"/>
      <c r="E68" s="658"/>
      <c r="G68"/>
      <c r="H68"/>
    </row>
    <row r="69" spans="1:22" ht="18.75">
      <c r="A69" s="682" t="s">
        <v>284</v>
      </c>
      <c r="B69" s="683"/>
      <c r="C69" s="683"/>
      <c r="D69" s="683"/>
      <c r="E69" s="683"/>
      <c r="F69" s="683"/>
      <c r="G69" s="683"/>
      <c r="H69" s="683"/>
      <c r="I69" s="683"/>
      <c r="K69" s="669" t="s">
        <v>599</v>
      </c>
      <c r="L69" s="669"/>
      <c r="M69" s="669"/>
      <c r="N69" s="669"/>
      <c r="O69" s="669"/>
      <c r="P69" s="669"/>
      <c r="Q69" s="395"/>
      <c r="R69" s="395"/>
      <c r="S69" s="670" t="s">
        <v>596</v>
      </c>
      <c r="T69" s="670"/>
      <c r="U69" s="670"/>
      <c r="V69" s="670"/>
    </row>
    <row r="70" spans="1:22" ht="63">
      <c r="A70" s="173" t="s">
        <v>171</v>
      </c>
      <c r="B70" s="174" t="s">
        <v>173</v>
      </c>
      <c r="C70" s="174" t="s">
        <v>177</v>
      </c>
      <c r="D70" s="174" t="s">
        <v>172</v>
      </c>
      <c r="E70" s="175" t="s">
        <v>174</v>
      </c>
      <c r="F70" s="174" t="s">
        <v>175</v>
      </c>
      <c r="G70" s="175" t="s">
        <v>178</v>
      </c>
      <c r="H70" s="175" t="s">
        <v>179</v>
      </c>
      <c r="I70" s="175" t="s">
        <v>180</v>
      </c>
      <c r="K70" s="169" t="s">
        <v>602</v>
      </c>
      <c r="L70" s="169" t="s">
        <v>483</v>
      </c>
      <c r="M70" s="169" t="s">
        <v>607</v>
      </c>
      <c r="N70" s="169" t="s">
        <v>483</v>
      </c>
      <c r="O70" s="169" t="s">
        <v>600</v>
      </c>
      <c r="P70" s="169" t="s">
        <v>483</v>
      </c>
      <c r="Q70" s="169" t="s">
        <v>617</v>
      </c>
      <c r="R70" s="169"/>
      <c r="S70" s="169" t="s">
        <v>603</v>
      </c>
      <c r="T70" s="169" t="s">
        <v>604</v>
      </c>
      <c r="U70" s="169" t="s">
        <v>605</v>
      </c>
      <c r="V70" s="169" t="s">
        <v>606</v>
      </c>
    </row>
    <row r="71" spans="1:22" ht="31.5">
      <c r="A71" s="111">
        <v>1</v>
      </c>
      <c r="B71" s="112" t="s">
        <v>285</v>
      </c>
      <c r="C71" s="111" t="s">
        <v>156</v>
      </c>
      <c r="D71" s="111">
        <v>2</v>
      </c>
      <c r="E71" s="426">
        <f>U71</f>
        <v>1824.79</v>
      </c>
      <c r="F71" s="113">
        <f>TRUNC(D71*E71,2)</f>
        <v>3649.58</v>
      </c>
      <c r="G71" s="114">
        <v>0.8</v>
      </c>
      <c r="H71" s="115">
        <v>60</v>
      </c>
      <c r="I71" s="116">
        <f>TRUNC((F71*G71)/H71,2)</f>
        <v>48.66</v>
      </c>
      <c r="K71" s="396">
        <v>1824.79</v>
      </c>
      <c r="L71" s="396">
        <f>K71*D71</f>
        <v>3649.58</v>
      </c>
      <c r="M71" s="397">
        <v>2580.5</v>
      </c>
      <c r="N71" s="398">
        <f>M71*D71</f>
        <v>5161</v>
      </c>
      <c r="O71" s="398">
        <v>400</v>
      </c>
      <c r="P71" s="398">
        <f t="shared" ref="P71:P77" si="50">O71*D71</f>
        <v>800</v>
      </c>
      <c r="Q71" s="398"/>
      <c r="R71" s="398"/>
      <c r="S71" s="396">
        <f t="shared" ref="S71:S77" si="51">AVERAGE(K71,M71,O71)</f>
        <v>1601.7633333333333</v>
      </c>
      <c r="T71" s="396">
        <f t="shared" ref="T71:T77" si="52">S71*D71</f>
        <v>3203.5266666666666</v>
      </c>
      <c r="U71" s="396">
        <f>MEDIAN(K71,M71,O71)</f>
        <v>1824.79</v>
      </c>
      <c r="V71" s="396">
        <f t="shared" ref="V71:V77" si="53">U71*D71</f>
        <v>3649.58</v>
      </c>
    </row>
    <row r="72" spans="1:22" ht="31.5">
      <c r="A72" s="111">
        <v>2</v>
      </c>
      <c r="B72" s="112" t="s">
        <v>286</v>
      </c>
      <c r="C72" s="111" t="s">
        <v>156</v>
      </c>
      <c r="D72" s="111">
        <v>1</v>
      </c>
      <c r="E72" s="426">
        <f t="shared" ref="E72:E80" si="54">U72</f>
        <v>1562.31</v>
      </c>
      <c r="F72" s="113">
        <f t="shared" ref="F72:F80" si="55">TRUNC(D72*E72,2)</f>
        <v>1562.31</v>
      </c>
      <c r="G72" s="114">
        <v>0.8</v>
      </c>
      <c r="H72" s="115">
        <v>60</v>
      </c>
      <c r="I72" s="116">
        <f t="shared" ref="I72:I76" si="56">TRUNC((F72*G72)/H72,2)</f>
        <v>20.83</v>
      </c>
      <c r="K72" s="396">
        <v>1562.31</v>
      </c>
      <c r="L72" s="396">
        <f t="shared" ref="L72:L77" si="57">K72*D72</f>
        <v>1562.31</v>
      </c>
      <c r="M72" s="188"/>
      <c r="N72" s="398">
        <f t="shared" ref="N72:N77" si="58">M72*D72</f>
        <v>0</v>
      </c>
      <c r="O72" s="398"/>
      <c r="P72" s="398">
        <f t="shared" si="50"/>
        <v>0</v>
      </c>
      <c r="Q72" s="398"/>
      <c r="R72" s="398"/>
      <c r="S72" s="396">
        <f t="shared" si="51"/>
        <v>1562.31</v>
      </c>
      <c r="T72" s="396">
        <f t="shared" si="52"/>
        <v>1562.31</v>
      </c>
      <c r="U72" s="396">
        <f t="shared" ref="U72:U77" si="59">MEDIAN(K72,M72,O72)</f>
        <v>1562.31</v>
      </c>
      <c r="V72" s="396">
        <f t="shared" si="53"/>
        <v>1562.31</v>
      </c>
    </row>
    <row r="73" spans="1:22">
      <c r="A73" s="111">
        <v>3</v>
      </c>
      <c r="B73" s="117" t="s">
        <v>287</v>
      </c>
      <c r="C73" s="111" t="s">
        <v>156</v>
      </c>
      <c r="D73" s="111">
        <v>2</v>
      </c>
      <c r="E73" s="426">
        <f t="shared" si="54"/>
        <v>2031.81</v>
      </c>
      <c r="F73" s="113">
        <f t="shared" si="55"/>
        <v>4063.62</v>
      </c>
      <c r="G73" s="114">
        <v>0.8</v>
      </c>
      <c r="H73" s="115">
        <v>60</v>
      </c>
      <c r="I73" s="116">
        <f t="shared" si="56"/>
        <v>54.18</v>
      </c>
      <c r="K73" s="396">
        <v>2031.81</v>
      </c>
      <c r="L73" s="396">
        <f t="shared" si="57"/>
        <v>4063.62</v>
      </c>
      <c r="M73" s="188">
        <v>2513.34</v>
      </c>
      <c r="N73" s="398">
        <f t="shared" si="58"/>
        <v>5026.68</v>
      </c>
      <c r="O73" s="398">
        <v>1270</v>
      </c>
      <c r="P73" s="398">
        <f t="shared" si="50"/>
        <v>2540</v>
      </c>
      <c r="Q73" s="398"/>
      <c r="R73" s="398"/>
      <c r="S73" s="396">
        <f t="shared" si="51"/>
        <v>1938.3833333333332</v>
      </c>
      <c r="T73" s="396">
        <f t="shared" si="52"/>
        <v>3876.7666666666664</v>
      </c>
      <c r="U73" s="396">
        <f t="shared" si="59"/>
        <v>2031.81</v>
      </c>
      <c r="V73" s="396">
        <f t="shared" si="53"/>
        <v>4063.62</v>
      </c>
    </row>
    <row r="74" spans="1:22">
      <c r="A74" s="111">
        <v>4</v>
      </c>
      <c r="B74" s="117" t="s">
        <v>288</v>
      </c>
      <c r="C74" s="111" t="s">
        <v>156</v>
      </c>
      <c r="D74" s="111">
        <v>2</v>
      </c>
      <c r="E74" s="426">
        <f t="shared" si="54"/>
        <v>1024.29</v>
      </c>
      <c r="F74" s="113">
        <f t="shared" si="55"/>
        <v>2048.58</v>
      </c>
      <c r="G74" s="114">
        <v>0.8</v>
      </c>
      <c r="H74" s="115">
        <v>60</v>
      </c>
      <c r="I74" s="116">
        <f t="shared" si="56"/>
        <v>27.31</v>
      </c>
      <c r="K74" s="396">
        <v>1890.67</v>
      </c>
      <c r="L74" s="396">
        <f t="shared" si="57"/>
        <v>3781.34</v>
      </c>
      <c r="M74" s="397">
        <v>1024.29</v>
      </c>
      <c r="N74" s="398">
        <f t="shared" si="58"/>
        <v>2048.58</v>
      </c>
      <c r="O74" s="398">
        <v>810.87</v>
      </c>
      <c r="P74" s="398">
        <f t="shared" si="50"/>
        <v>1621.74</v>
      </c>
      <c r="Q74" s="398"/>
      <c r="R74" s="398"/>
      <c r="S74" s="396">
        <f t="shared" si="51"/>
        <v>1241.9433333333334</v>
      </c>
      <c r="T74" s="396">
        <f t="shared" si="52"/>
        <v>2483.8866666666668</v>
      </c>
      <c r="U74" s="396">
        <f t="shared" si="59"/>
        <v>1024.29</v>
      </c>
      <c r="V74" s="396">
        <f t="shared" si="53"/>
        <v>2048.58</v>
      </c>
    </row>
    <row r="75" spans="1:22">
      <c r="A75" s="111">
        <v>5</v>
      </c>
      <c r="B75" s="117" t="s">
        <v>289</v>
      </c>
      <c r="C75" s="111" t="s">
        <v>156</v>
      </c>
      <c r="D75" s="111">
        <v>8</v>
      </c>
      <c r="E75" s="426">
        <f t="shared" si="54"/>
        <v>938.82</v>
      </c>
      <c r="F75" s="113">
        <f t="shared" si="55"/>
        <v>7510.56</v>
      </c>
      <c r="G75" s="114">
        <v>0.8</v>
      </c>
      <c r="H75" s="115">
        <v>60</v>
      </c>
      <c r="I75" s="116">
        <f t="shared" si="56"/>
        <v>100.14</v>
      </c>
      <c r="K75" s="396">
        <v>938.82</v>
      </c>
      <c r="L75" s="396">
        <f t="shared" si="57"/>
        <v>7510.56</v>
      </c>
      <c r="M75" s="188">
        <v>1153.29</v>
      </c>
      <c r="N75" s="398">
        <f t="shared" si="58"/>
        <v>9226.32</v>
      </c>
      <c r="O75" s="398">
        <v>471.53</v>
      </c>
      <c r="P75" s="398">
        <f t="shared" si="50"/>
        <v>3772.24</v>
      </c>
      <c r="Q75" s="398"/>
      <c r="R75" s="398"/>
      <c r="S75" s="396">
        <f t="shared" si="51"/>
        <v>854.54666666666674</v>
      </c>
      <c r="T75" s="396">
        <f t="shared" si="52"/>
        <v>6836.3733333333339</v>
      </c>
      <c r="U75" s="396">
        <f t="shared" si="59"/>
        <v>938.82</v>
      </c>
      <c r="V75" s="396">
        <f t="shared" si="53"/>
        <v>7510.56</v>
      </c>
    </row>
    <row r="76" spans="1:22">
      <c r="A76" s="111">
        <v>6</v>
      </c>
      <c r="B76" s="117" t="s">
        <v>291</v>
      </c>
      <c r="C76" s="111" t="s">
        <v>156</v>
      </c>
      <c r="D76" s="111">
        <v>1</v>
      </c>
      <c r="E76" s="426">
        <f t="shared" si="54"/>
        <v>2353.9700000000003</v>
      </c>
      <c r="F76" s="113">
        <f t="shared" si="55"/>
        <v>2353.9699999999998</v>
      </c>
      <c r="G76" s="114">
        <v>0.8</v>
      </c>
      <c r="H76" s="115">
        <v>60</v>
      </c>
      <c r="I76" s="116">
        <f t="shared" si="56"/>
        <v>31.38</v>
      </c>
      <c r="K76" s="396">
        <v>1656.85</v>
      </c>
      <c r="L76" s="396">
        <f t="shared" si="57"/>
        <v>1656.85</v>
      </c>
      <c r="M76" s="188">
        <v>3051.09</v>
      </c>
      <c r="N76" s="398">
        <f t="shared" si="58"/>
        <v>3051.09</v>
      </c>
      <c r="O76" s="398"/>
      <c r="P76" s="398">
        <f t="shared" si="50"/>
        <v>0</v>
      </c>
      <c r="Q76" s="398"/>
      <c r="R76" s="398"/>
      <c r="S76" s="396">
        <f t="shared" si="51"/>
        <v>2353.9700000000003</v>
      </c>
      <c r="T76" s="396">
        <f t="shared" si="52"/>
        <v>2353.9700000000003</v>
      </c>
      <c r="U76" s="396">
        <f t="shared" si="59"/>
        <v>2353.9700000000003</v>
      </c>
      <c r="V76" s="396">
        <f t="shared" si="53"/>
        <v>2353.9700000000003</v>
      </c>
    </row>
    <row r="77" spans="1:22">
      <c r="A77" s="111">
        <v>7</v>
      </c>
      <c r="B77" s="117" t="s">
        <v>292</v>
      </c>
      <c r="C77" s="111" t="s">
        <v>156</v>
      </c>
      <c r="D77" s="111">
        <v>30</v>
      </c>
      <c r="E77" s="426">
        <f t="shared" si="54"/>
        <v>30.9</v>
      </c>
      <c r="F77" s="113">
        <f t="shared" si="55"/>
        <v>927</v>
      </c>
      <c r="G77" s="114">
        <v>0.8</v>
      </c>
      <c r="H77" s="115">
        <v>60</v>
      </c>
      <c r="I77" s="116">
        <f>TRUNC((F77*G77)/H77,2)</f>
        <v>12.36</v>
      </c>
      <c r="K77" s="396">
        <v>25.72</v>
      </c>
      <c r="L77" s="396">
        <f t="shared" si="57"/>
        <v>771.59999999999991</v>
      </c>
      <c r="M77" s="188">
        <v>39.5</v>
      </c>
      <c r="N77" s="398">
        <f t="shared" si="58"/>
        <v>1185</v>
      </c>
      <c r="O77" s="398">
        <v>30.9</v>
      </c>
      <c r="P77" s="398">
        <f t="shared" si="50"/>
        <v>927</v>
      </c>
      <c r="Q77" s="398"/>
      <c r="R77" s="398"/>
      <c r="S77" s="396">
        <f t="shared" si="51"/>
        <v>32.04</v>
      </c>
      <c r="T77" s="396">
        <f t="shared" si="52"/>
        <v>961.19999999999993</v>
      </c>
      <c r="U77" s="396">
        <f t="shared" si="59"/>
        <v>30.9</v>
      </c>
      <c r="V77" s="396">
        <f t="shared" si="53"/>
        <v>927</v>
      </c>
    </row>
    <row r="78" spans="1:22">
      <c r="A78" s="111">
        <v>8</v>
      </c>
      <c r="B78" s="117" t="s">
        <v>256</v>
      </c>
      <c r="C78" s="111" t="s">
        <v>156</v>
      </c>
      <c r="D78" s="111">
        <v>4</v>
      </c>
      <c r="E78" s="426">
        <f t="shared" si="54"/>
        <v>0</v>
      </c>
      <c r="F78" s="113">
        <f t="shared" si="55"/>
        <v>0</v>
      </c>
      <c r="G78" s="114">
        <v>0.8</v>
      </c>
      <c r="H78" s="115">
        <v>60</v>
      </c>
      <c r="I78" s="116">
        <f>TRUNC((F78*G78)/H78,2)</f>
        <v>0</v>
      </c>
      <c r="K78" s="399"/>
      <c r="L78" s="188"/>
      <c r="M78" s="188"/>
      <c r="N78" s="188"/>
      <c r="O78" s="188"/>
      <c r="P78" s="188"/>
      <c r="Q78" s="188"/>
      <c r="R78" s="188"/>
      <c r="S78" s="188"/>
      <c r="T78" s="188"/>
      <c r="U78" s="188"/>
      <c r="V78" s="188"/>
    </row>
    <row r="79" spans="1:22">
      <c r="A79" s="111">
        <v>9</v>
      </c>
      <c r="B79" s="117" t="s">
        <v>257</v>
      </c>
      <c r="C79" s="111" t="s">
        <v>156</v>
      </c>
      <c r="D79" s="111">
        <v>9</v>
      </c>
      <c r="E79" s="426">
        <f t="shared" si="54"/>
        <v>115.02</v>
      </c>
      <c r="F79" s="113">
        <f t="shared" si="55"/>
        <v>1035.18</v>
      </c>
      <c r="G79" s="114">
        <v>0.8</v>
      </c>
      <c r="H79" s="115">
        <v>60</v>
      </c>
      <c r="I79" s="116">
        <f>TRUNC((F79*G79)/H79,2)</f>
        <v>13.8</v>
      </c>
      <c r="K79" s="399"/>
      <c r="L79" s="188"/>
      <c r="M79" s="188"/>
      <c r="N79" s="188"/>
      <c r="O79" s="188"/>
      <c r="P79" s="188"/>
      <c r="Q79" s="188">
        <v>115.02</v>
      </c>
      <c r="R79" s="188">
        <f>Q79*D79</f>
        <v>1035.18</v>
      </c>
      <c r="S79" s="188">
        <f>AVERAGE(K79,M79,O79,Q79)</f>
        <v>115.02</v>
      </c>
      <c r="T79" s="188">
        <f>S79*D79</f>
        <v>1035.18</v>
      </c>
      <c r="U79" s="188">
        <f>MEDIAN(K79,M79,Q79)</f>
        <v>115.02</v>
      </c>
      <c r="V79" s="188">
        <f>U79*D79</f>
        <v>1035.18</v>
      </c>
    </row>
    <row r="80" spans="1:22">
      <c r="A80" s="111">
        <v>10</v>
      </c>
      <c r="B80" s="117" t="s">
        <v>258</v>
      </c>
      <c r="C80" s="111" t="s">
        <v>156</v>
      </c>
      <c r="D80" s="111">
        <v>9</v>
      </c>
      <c r="E80" s="426">
        <f t="shared" si="54"/>
        <v>115.02</v>
      </c>
      <c r="F80" s="113">
        <f t="shared" si="55"/>
        <v>1035.18</v>
      </c>
      <c r="G80" s="114">
        <v>0.8</v>
      </c>
      <c r="H80" s="115">
        <v>60</v>
      </c>
      <c r="I80" s="116">
        <f>TRUNC((F80*G80)/H80,2)</f>
        <v>13.8</v>
      </c>
      <c r="K80" s="399"/>
      <c r="L80" s="188"/>
      <c r="M80" s="188"/>
      <c r="N80" s="188"/>
      <c r="O80" s="188"/>
      <c r="P80" s="188"/>
      <c r="Q80" s="188">
        <v>115.02</v>
      </c>
      <c r="R80" s="188">
        <f>Q80*D79</f>
        <v>1035.18</v>
      </c>
      <c r="S80" s="188">
        <f>AVERAGE(K80,M80,O80,Q80)</f>
        <v>115.02</v>
      </c>
      <c r="T80" s="188">
        <f>S80*D79</f>
        <v>1035.18</v>
      </c>
      <c r="U80" s="188">
        <f>MEDIAN(K80,M80,Q80)</f>
        <v>115.02</v>
      </c>
      <c r="V80" s="188">
        <f>U80*D80</f>
        <v>1035.18</v>
      </c>
    </row>
    <row r="81" spans="1:22">
      <c r="A81" s="111">
        <v>11</v>
      </c>
      <c r="B81" s="117" t="s">
        <v>527</v>
      </c>
      <c r="C81" s="111" t="s">
        <v>156</v>
      </c>
      <c r="D81" s="111">
        <v>1</v>
      </c>
      <c r="E81" s="426">
        <f>K81</f>
        <v>137.44999999999999</v>
      </c>
      <c r="F81" s="113">
        <f>D81*E81</f>
        <v>137.44999999999999</v>
      </c>
      <c r="G81" s="114">
        <v>0.8</v>
      </c>
      <c r="H81" s="115">
        <v>60</v>
      </c>
      <c r="I81" s="116">
        <f t="shared" ref="I81:I82" si="60">TRUNC((F81*G81)/H81,2)</f>
        <v>1.83</v>
      </c>
      <c r="K81" s="188">
        <v>137.44999999999999</v>
      </c>
      <c r="L81" s="188"/>
      <c r="M81" s="188"/>
      <c r="N81" s="188"/>
      <c r="O81" s="188"/>
      <c r="P81" s="188"/>
      <c r="Q81" s="188"/>
      <c r="R81" s="188"/>
      <c r="S81" s="188"/>
      <c r="T81" s="188"/>
      <c r="U81" s="188"/>
      <c r="V81" s="188"/>
    </row>
    <row r="82" spans="1:22">
      <c r="A82" s="111">
        <v>12</v>
      </c>
      <c r="B82" s="117" t="s">
        <v>528</v>
      </c>
      <c r="C82" s="111" t="s">
        <v>156</v>
      </c>
      <c r="D82" s="111">
        <v>1</v>
      </c>
      <c r="E82" s="426">
        <f>K82</f>
        <v>146.41</v>
      </c>
      <c r="F82" s="113">
        <f>D82*E82</f>
        <v>146.41</v>
      </c>
      <c r="G82" s="114">
        <v>0.8</v>
      </c>
      <c r="H82" s="115">
        <v>60</v>
      </c>
      <c r="I82" s="116">
        <f t="shared" si="60"/>
        <v>1.95</v>
      </c>
      <c r="K82" s="188">
        <v>146.41</v>
      </c>
      <c r="L82" s="188"/>
      <c r="M82" s="188"/>
      <c r="N82" s="188"/>
      <c r="O82" s="188"/>
      <c r="P82" s="188"/>
      <c r="Q82" s="188"/>
      <c r="R82" s="188"/>
      <c r="S82" s="188"/>
      <c r="T82" s="188"/>
      <c r="U82" s="188"/>
      <c r="V82" s="188"/>
    </row>
    <row r="83" spans="1:22">
      <c r="A83" s="111">
        <v>13</v>
      </c>
      <c r="B83" s="117" t="s">
        <v>529</v>
      </c>
      <c r="C83" s="111" t="s">
        <v>156</v>
      </c>
      <c r="D83" s="111">
        <v>1</v>
      </c>
      <c r="E83" s="426">
        <f t="shared" ref="E83" si="61">K83</f>
        <v>4.1500000000000004</v>
      </c>
      <c r="F83" s="113">
        <f t="shared" ref="F83" si="62">D83*E83</f>
        <v>4.1500000000000004</v>
      </c>
      <c r="G83" s="114">
        <v>0.8</v>
      </c>
      <c r="H83" s="115">
        <v>60</v>
      </c>
      <c r="I83" s="116">
        <f t="shared" ref="I83" si="63">TRUNC((F83*G83)/H83,2)</f>
        <v>0.05</v>
      </c>
      <c r="K83" s="188">
        <v>4.1500000000000004</v>
      </c>
      <c r="L83" s="188"/>
      <c r="M83" s="188"/>
      <c r="N83" s="188"/>
      <c r="O83" s="188"/>
      <c r="P83" s="188"/>
      <c r="Q83" s="188"/>
      <c r="R83" s="188"/>
      <c r="S83" s="188"/>
      <c r="T83" s="188"/>
      <c r="U83" s="188"/>
      <c r="V83" s="188"/>
    </row>
    <row r="84" spans="1:22">
      <c r="A84" s="111"/>
      <c r="B84" s="117"/>
      <c r="C84" s="111"/>
      <c r="D84" s="111"/>
      <c r="E84" s="352"/>
      <c r="F84" s="113"/>
      <c r="G84" s="114"/>
      <c r="H84" s="115"/>
      <c r="I84" s="116"/>
      <c r="K84" s="399"/>
      <c r="L84" s="188"/>
      <c r="M84" s="188"/>
      <c r="N84" s="188"/>
      <c r="O84" s="188"/>
      <c r="P84" s="188"/>
      <c r="Q84" s="188"/>
      <c r="R84" s="188"/>
      <c r="S84" s="188"/>
      <c r="T84" s="188"/>
      <c r="U84" s="188"/>
      <c r="V84" s="188"/>
    </row>
    <row r="85" spans="1:22">
      <c r="A85" s="111"/>
      <c r="B85" s="117"/>
      <c r="C85" s="111"/>
      <c r="D85" s="111"/>
      <c r="E85" s="352"/>
      <c r="F85" s="113"/>
      <c r="G85" s="114"/>
      <c r="H85" s="115"/>
      <c r="I85" s="116"/>
      <c r="K85" s="399"/>
      <c r="L85" s="188"/>
      <c r="M85" s="188"/>
      <c r="N85" s="188"/>
      <c r="O85" s="188"/>
      <c r="P85" s="188"/>
      <c r="Q85" s="188"/>
      <c r="R85" s="188"/>
      <c r="S85" s="188"/>
      <c r="T85" s="188"/>
      <c r="U85" s="188"/>
      <c r="V85" s="188"/>
    </row>
    <row r="86" spans="1:22">
      <c r="A86" s="646" t="s">
        <v>181</v>
      </c>
      <c r="B86" s="647"/>
      <c r="C86" s="647"/>
      <c r="D86" s="647"/>
      <c r="E86" s="659"/>
      <c r="F86" s="127">
        <f>SUM(F71:F83)</f>
        <v>24473.99</v>
      </c>
      <c r="G86" s="646"/>
      <c r="H86" s="659"/>
      <c r="I86" s="118">
        <f>ROUND(SUM(I71:I83),2)</f>
        <v>326.29000000000002</v>
      </c>
      <c r="K86" s="399"/>
      <c r="L86" s="188"/>
      <c r="M86" s="188"/>
      <c r="N86" s="188"/>
      <c r="O86" s="188"/>
      <c r="P86" s="188"/>
      <c r="Q86" s="188"/>
      <c r="R86" s="188"/>
      <c r="S86" s="188"/>
      <c r="T86" s="188"/>
      <c r="U86" s="188"/>
      <c r="V86" s="188"/>
    </row>
    <row r="87" spans="1:22">
      <c r="A87" s="661" t="s">
        <v>176</v>
      </c>
      <c r="B87" s="662"/>
      <c r="C87" s="662"/>
      <c r="D87" s="662"/>
      <c r="E87" s="662"/>
      <c r="F87" s="662"/>
      <c r="G87" s="662"/>
      <c r="H87" s="176">
        <v>12</v>
      </c>
      <c r="I87" s="177">
        <f>TRUNC(I86/H87,2)</f>
        <v>27.19</v>
      </c>
      <c r="K87" s="399"/>
      <c r="L87" s="188"/>
      <c r="M87" s="188"/>
      <c r="N87" s="188"/>
      <c r="O87" s="188"/>
      <c r="P87" s="188"/>
      <c r="Q87" s="188"/>
      <c r="R87" s="188"/>
      <c r="S87" s="188"/>
      <c r="T87" s="188"/>
      <c r="U87" s="188"/>
      <c r="V87" s="188"/>
    </row>
    <row r="88" spans="1:22" ht="60">
      <c r="A88" s="119"/>
      <c r="B88" s="119"/>
      <c r="C88" s="119"/>
      <c r="D88" s="119"/>
      <c r="E88" s="119"/>
      <c r="F88" s="119"/>
      <c r="G88" s="119"/>
      <c r="H88" s="119"/>
      <c r="I88" s="119"/>
      <c r="K88" s="188"/>
      <c r="L88" s="188"/>
      <c r="M88" s="400" t="s">
        <v>618</v>
      </c>
      <c r="N88" s="188"/>
      <c r="O88" s="400" t="s">
        <v>619</v>
      </c>
      <c r="P88" s="188"/>
      <c r="Q88" s="188"/>
      <c r="R88" s="188"/>
      <c r="S88" s="188"/>
      <c r="T88" s="188"/>
      <c r="U88" s="188"/>
      <c r="V88" s="188"/>
    </row>
    <row r="89" spans="1:22" ht="21">
      <c r="A89" s="663" t="s">
        <v>301</v>
      </c>
      <c r="B89" s="664"/>
      <c r="C89" s="664"/>
      <c r="D89" s="664"/>
      <c r="E89" s="664"/>
      <c r="F89" s="664"/>
      <c r="G89" s="664"/>
      <c r="H89" s="664"/>
      <c r="I89" s="664"/>
      <c r="K89" s="669" t="s">
        <v>599</v>
      </c>
      <c r="L89" s="669"/>
      <c r="M89" s="669"/>
      <c r="N89" s="669"/>
      <c r="O89" s="669"/>
      <c r="P89" s="669"/>
      <c r="Q89" s="395"/>
      <c r="R89" s="395"/>
      <c r="S89" s="670" t="s">
        <v>596</v>
      </c>
      <c r="T89" s="670"/>
      <c r="U89" s="670"/>
      <c r="V89" s="670"/>
    </row>
    <row r="90" spans="1:22" ht="63">
      <c r="A90" s="173" t="s">
        <v>171</v>
      </c>
      <c r="B90" s="174" t="s">
        <v>173</v>
      </c>
      <c r="C90" s="174" t="s">
        <v>177</v>
      </c>
      <c r="D90" s="174" t="s">
        <v>172</v>
      </c>
      <c r="E90" s="174" t="s">
        <v>174</v>
      </c>
      <c r="F90" s="174" t="s">
        <v>175</v>
      </c>
      <c r="G90" s="175" t="s">
        <v>178</v>
      </c>
      <c r="H90" s="175" t="s">
        <v>179</v>
      </c>
      <c r="I90" s="175" t="s">
        <v>180</v>
      </c>
      <c r="K90" s="169" t="s">
        <v>602</v>
      </c>
      <c r="L90" s="169" t="s">
        <v>483</v>
      </c>
      <c r="M90" s="169" t="s">
        <v>617</v>
      </c>
      <c r="N90" s="169" t="s">
        <v>483</v>
      </c>
      <c r="O90" s="169" t="s">
        <v>653</v>
      </c>
      <c r="P90" s="169" t="s">
        <v>483</v>
      </c>
      <c r="Q90" s="169" t="s">
        <v>638</v>
      </c>
      <c r="R90" s="169" t="s">
        <v>483</v>
      </c>
      <c r="S90" s="169" t="s">
        <v>603</v>
      </c>
      <c r="T90" s="169" t="s">
        <v>604</v>
      </c>
      <c r="U90" s="169" t="s">
        <v>605</v>
      </c>
      <c r="V90" s="169" t="s">
        <v>606</v>
      </c>
    </row>
    <row r="91" spans="1:22">
      <c r="A91" s="111">
        <v>1</v>
      </c>
      <c r="B91" s="112" t="s">
        <v>293</v>
      </c>
      <c r="C91" s="111" t="s">
        <v>156</v>
      </c>
      <c r="D91" s="111">
        <v>1</v>
      </c>
      <c r="E91" s="426">
        <f>U91</f>
        <v>981.68999999999994</v>
      </c>
      <c r="F91" s="113">
        <f>TRUNC(D91*E91,2)</f>
        <v>981.69</v>
      </c>
      <c r="G91" s="114">
        <v>0.8</v>
      </c>
      <c r="H91" s="115">
        <v>60</v>
      </c>
      <c r="I91" s="116">
        <f>TRUNC((F91*G91)/H91,2)</f>
        <v>13.08</v>
      </c>
      <c r="K91" s="401">
        <v>1472.12</v>
      </c>
      <c r="L91" s="401">
        <f>K91*D91</f>
        <v>1472.12</v>
      </c>
      <c r="M91" s="401">
        <v>491.26</v>
      </c>
      <c r="N91" s="401">
        <f>M91*D91</f>
        <v>491.26</v>
      </c>
      <c r="S91" s="401">
        <f t="shared" ref="S91:S98" si="64">AVERAGE(K91,M91,O91)</f>
        <v>981.68999999999994</v>
      </c>
      <c r="T91" s="401">
        <f t="shared" ref="T91:T101" si="65">S91*D91</f>
        <v>981.68999999999994</v>
      </c>
      <c r="U91" s="401">
        <f t="shared" ref="U91:U98" si="66">MEDIAN(K91,M91,O91)</f>
        <v>981.68999999999994</v>
      </c>
      <c r="V91" s="401">
        <f t="shared" ref="V91:V101" si="67">U91*D91</f>
        <v>981.68999999999994</v>
      </c>
    </row>
    <row r="92" spans="1:22">
      <c r="A92" s="111">
        <v>2</v>
      </c>
      <c r="B92" s="112" t="s">
        <v>294</v>
      </c>
      <c r="C92" s="111" t="s">
        <v>156</v>
      </c>
      <c r="D92" s="111">
        <v>1</v>
      </c>
      <c r="E92" s="426">
        <f t="shared" ref="E92:E101" si="68">U92</f>
        <v>21.509999999999998</v>
      </c>
      <c r="F92" s="113">
        <f t="shared" ref="F92:F101" si="69">TRUNC(D92*E92,2)</f>
        <v>21.51</v>
      </c>
      <c r="G92" s="114">
        <v>0.8</v>
      </c>
      <c r="H92" s="115">
        <v>60</v>
      </c>
      <c r="I92" s="116">
        <f t="shared" ref="I92:I101" si="70">TRUNC((F92*G92)/H92,2)</f>
        <v>0.28000000000000003</v>
      </c>
      <c r="K92" s="401">
        <v>37.42</v>
      </c>
      <c r="L92" s="401">
        <f t="shared" ref="L92:L98" si="71">K92*D92</f>
        <v>37.42</v>
      </c>
      <c r="M92" s="401">
        <v>5.6</v>
      </c>
      <c r="N92" s="401">
        <f t="shared" ref="N92:N97" si="72">M92*D92</f>
        <v>5.6</v>
      </c>
      <c r="S92" s="401">
        <f t="shared" si="64"/>
        <v>21.51</v>
      </c>
      <c r="T92" s="401">
        <f t="shared" si="65"/>
        <v>21.51</v>
      </c>
      <c r="U92" s="401">
        <f t="shared" si="66"/>
        <v>21.509999999999998</v>
      </c>
      <c r="V92" s="401">
        <f t="shared" si="67"/>
        <v>21.509999999999998</v>
      </c>
    </row>
    <row r="93" spans="1:22">
      <c r="A93" s="111">
        <v>3</v>
      </c>
      <c r="B93" s="117" t="s">
        <v>295</v>
      </c>
      <c r="C93" s="111" t="s">
        <v>156</v>
      </c>
      <c r="D93" s="111">
        <v>1</v>
      </c>
      <c r="E93" s="426">
        <f t="shared" si="68"/>
        <v>81.545000000000002</v>
      </c>
      <c r="F93" s="113">
        <f t="shared" si="69"/>
        <v>81.540000000000006</v>
      </c>
      <c r="G93" s="114">
        <v>0.8</v>
      </c>
      <c r="H93" s="115">
        <v>60</v>
      </c>
      <c r="I93" s="116">
        <f t="shared" si="70"/>
        <v>1.08</v>
      </c>
      <c r="K93" s="401">
        <v>137.5</v>
      </c>
      <c r="L93" s="401">
        <f t="shared" si="71"/>
        <v>137.5</v>
      </c>
      <c r="M93" s="401">
        <v>25.59</v>
      </c>
      <c r="N93" s="401">
        <f t="shared" si="72"/>
        <v>25.59</v>
      </c>
      <c r="S93" s="401">
        <f t="shared" si="64"/>
        <v>81.545000000000002</v>
      </c>
      <c r="T93" s="401">
        <f t="shared" si="65"/>
        <v>81.545000000000002</v>
      </c>
      <c r="U93" s="401">
        <f t="shared" si="66"/>
        <v>81.545000000000002</v>
      </c>
      <c r="V93" s="401">
        <f t="shared" si="67"/>
        <v>81.545000000000002</v>
      </c>
    </row>
    <row r="94" spans="1:22">
      <c r="A94" s="111">
        <v>4</v>
      </c>
      <c r="B94" s="117" t="s">
        <v>296</v>
      </c>
      <c r="C94" s="111" t="s">
        <v>156</v>
      </c>
      <c r="D94" s="111">
        <v>1</v>
      </c>
      <c r="E94" s="426">
        <f t="shared" si="68"/>
        <v>36.9</v>
      </c>
      <c r="F94" s="113">
        <f t="shared" si="69"/>
        <v>36.9</v>
      </c>
      <c r="G94" s="114">
        <v>0.8</v>
      </c>
      <c r="H94" s="115">
        <v>60</v>
      </c>
      <c r="I94" s="116">
        <f t="shared" si="70"/>
        <v>0.49</v>
      </c>
      <c r="K94" s="401">
        <v>44.9</v>
      </c>
      <c r="L94" s="401">
        <f t="shared" si="71"/>
        <v>44.9</v>
      </c>
      <c r="M94" s="401">
        <v>36.9</v>
      </c>
      <c r="N94" s="401">
        <f t="shared" si="72"/>
        <v>36.9</v>
      </c>
      <c r="O94">
        <v>25.52</v>
      </c>
      <c r="P94">
        <f>O94*D94</f>
        <v>25.52</v>
      </c>
      <c r="S94" s="401">
        <f t="shared" si="64"/>
        <v>35.773333333333333</v>
      </c>
      <c r="T94" s="401">
        <f t="shared" si="65"/>
        <v>35.773333333333333</v>
      </c>
      <c r="U94" s="401">
        <f t="shared" si="66"/>
        <v>36.9</v>
      </c>
      <c r="V94" s="401">
        <f t="shared" si="67"/>
        <v>36.9</v>
      </c>
    </row>
    <row r="95" spans="1:22">
      <c r="A95" s="111">
        <v>5</v>
      </c>
      <c r="B95" s="117" t="s">
        <v>297</v>
      </c>
      <c r="C95" s="111" t="s">
        <v>156</v>
      </c>
      <c r="D95" s="111">
        <v>1</v>
      </c>
      <c r="E95" s="426">
        <f t="shared" si="68"/>
        <v>73.56</v>
      </c>
      <c r="F95" s="113">
        <f t="shared" si="69"/>
        <v>73.56</v>
      </c>
      <c r="G95" s="114">
        <v>0.8</v>
      </c>
      <c r="H95" s="115">
        <v>60</v>
      </c>
      <c r="I95" s="116">
        <f t="shared" si="70"/>
        <v>0.98</v>
      </c>
      <c r="K95" s="401">
        <v>74.38</v>
      </c>
      <c r="L95" s="401">
        <f t="shared" si="71"/>
        <v>74.38</v>
      </c>
      <c r="M95" s="401">
        <v>72.739999999999995</v>
      </c>
      <c r="N95" s="401">
        <f t="shared" si="72"/>
        <v>72.739999999999995</v>
      </c>
      <c r="S95" s="401">
        <f t="shared" si="64"/>
        <v>73.56</v>
      </c>
      <c r="T95" s="401">
        <f t="shared" si="65"/>
        <v>73.56</v>
      </c>
      <c r="U95" s="401">
        <f t="shared" si="66"/>
        <v>73.56</v>
      </c>
      <c r="V95" s="401">
        <f t="shared" si="67"/>
        <v>73.56</v>
      </c>
    </row>
    <row r="96" spans="1:22">
      <c r="A96" s="111">
        <v>6</v>
      </c>
      <c r="B96" s="117" t="s">
        <v>298</v>
      </c>
      <c r="C96" s="111" t="s">
        <v>156</v>
      </c>
      <c r="D96" s="111">
        <v>4</v>
      </c>
      <c r="E96" s="426">
        <f t="shared" si="68"/>
        <v>86.94</v>
      </c>
      <c r="F96" s="113">
        <f t="shared" si="69"/>
        <v>347.76</v>
      </c>
      <c r="G96" s="114">
        <v>0.8</v>
      </c>
      <c r="H96" s="115">
        <v>60</v>
      </c>
      <c r="I96" s="116">
        <f t="shared" si="70"/>
        <v>4.63</v>
      </c>
      <c r="K96" s="401">
        <v>163.88</v>
      </c>
      <c r="L96" s="401">
        <f t="shared" si="71"/>
        <v>655.52</v>
      </c>
      <c r="M96" s="401">
        <v>10</v>
      </c>
      <c r="N96" s="401">
        <f t="shared" si="72"/>
        <v>40</v>
      </c>
      <c r="S96" s="401">
        <f t="shared" si="64"/>
        <v>86.94</v>
      </c>
      <c r="T96" s="401">
        <f t="shared" si="65"/>
        <v>347.76</v>
      </c>
      <c r="U96" s="401">
        <f t="shared" si="66"/>
        <v>86.94</v>
      </c>
      <c r="V96" s="401">
        <f t="shared" si="67"/>
        <v>347.76</v>
      </c>
    </row>
    <row r="97" spans="1:22">
      <c r="A97" s="111">
        <v>7</v>
      </c>
      <c r="B97" s="117" t="s">
        <v>299</v>
      </c>
      <c r="C97" s="111" t="s">
        <v>156</v>
      </c>
      <c r="D97" s="111">
        <v>1</v>
      </c>
      <c r="E97" s="426">
        <f t="shared" si="68"/>
        <v>49.39</v>
      </c>
      <c r="F97" s="113">
        <f t="shared" si="69"/>
        <v>49.39</v>
      </c>
      <c r="G97" s="114">
        <v>0.8</v>
      </c>
      <c r="H97" s="115">
        <v>60</v>
      </c>
      <c r="I97" s="116">
        <f t="shared" si="70"/>
        <v>0.65</v>
      </c>
      <c r="K97" s="401">
        <v>71.23</v>
      </c>
      <c r="L97" s="401">
        <f t="shared" si="71"/>
        <v>71.23</v>
      </c>
      <c r="M97" s="401">
        <v>27.55</v>
      </c>
      <c r="N97" s="401">
        <f t="shared" si="72"/>
        <v>27.55</v>
      </c>
      <c r="S97" s="401">
        <f t="shared" si="64"/>
        <v>49.39</v>
      </c>
      <c r="T97" s="401">
        <f t="shared" si="65"/>
        <v>49.39</v>
      </c>
      <c r="U97" s="401">
        <f t="shared" si="66"/>
        <v>49.39</v>
      </c>
      <c r="V97" s="401">
        <f t="shared" si="67"/>
        <v>49.39</v>
      </c>
    </row>
    <row r="98" spans="1:22">
      <c r="A98" s="111">
        <v>8</v>
      </c>
      <c r="B98" s="117" t="s">
        <v>300</v>
      </c>
      <c r="C98" s="111" t="s">
        <v>156</v>
      </c>
      <c r="D98" s="111">
        <v>1</v>
      </c>
      <c r="E98" s="426">
        <f t="shared" si="68"/>
        <v>32.17</v>
      </c>
      <c r="F98" s="113">
        <f t="shared" si="69"/>
        <v>32.17</v>
      </c>
      <c r="G98" s="114">
        <v>0.8</v>
      </c>
      <c r="H98" s="115">
        <v>60</v>
      </c>
      <c r="I98" s="116">
        <f t="shared" si="70"/>
        <v>0.42</v>
      </c>
      <c r="K98" s="401">
        <v>64.17</v>
      </c>
      <c r="L98" s="401">
        <f t="shared" si="71"/>
        <v>64.17</v>
      </c>
      <c r="M98" s="401">
        <v>0.17</v>
      </c>
      <c r="N98" s="401">
        <v>13.1</v>
      </c>
      <c r="S98" s="401">
        <f t="shared" si="64"/>
        <v>32.17</v>
      </c>
      <c r="T98" s="401">
        <f t="shared" si="65"/>
        <v>32.17</v>
      </c>
      <c r="U98" s="401">
        <f t="shared" si="66"/>
        <v>32.17</v>
      </c>
      <c r="V98" s="401">
        <f t="shared" si="67"/>
        <v>32.17</v>
      </c>
    </row>
    <row r="99" spans="1:22">
      <c r="A99" s="111">
        <v>9</v>
      </c>
      <c r="B99" s="349" t="s">
        <v>523</v>
      </c>
      <c r="C99" s="111" t="s">
        <v>156</v>
      </c>
      <c r="D99" s="111">
        <v>1</v>
      </c>
      <c r="E99" s="426">
        <f t="shared" si="68"/>
        <v>28.7</v>
      </c>
      <c r="F99" s="113">
        <f t="shared" si="69"/>
        <v>28.7</v>
      </c>
      <c r="G99" s="114">
        <v>0.8</v>
      </c>
      <c r="H99" s="115">
        <v>60</v>
      </c>
      <c r="I99" s="116">
        <f t="shared" si="70"/>
        <v>0.38</v>
      </c>
      <c r="Q99">
        <v>28.7</v>
      </c>
      <c r="S99" s="401">
        <f>Q99</f>
        <v>28.7</v>
      </c>
      <c r="T99" s="401">
        <f t="shared" si="65"/>
        <v>28.7</v>
      </c>
      <c r="U99" s="401">
        <f>Q99</f>
        <v>28.7</v>
      </c>
      <c r="V99" s="401">
        <f t="shared" si="67"/>
        <v>28.7</v>
      </c>
    </row>
    <row r="100" spans="1:22">
      <c r="A100" s="111">
        <v>10</v>
      </c>
      <c r="B100" s="349" t="s">
        <v>524</v>
      </c>
      <c r="C100" s="111" t="s">
        <v>156</v>
      </c>
      <c r="D100" s="111">
        <v>1</v>
      </c>
      <c r="E100" s="426">
        <f t="shared" si="68"/>
        <v>216.5</v>
      </c>
      <c r="F100" s="113">
        <f t="shared" si="69"/>
        <v>216.5</v>
      </c>
      <c r="G100" s="114">
        <v>0.8</v>
      </c>
      <c r="H100" s="115">
        <v>60</v>
      </c>
      <c r="I100" s="116">
        <f t="shared" si="70"/>
        <v>2.88</v>
      </c>
      <c r="Q100">
        <v>216.5</v>
      </c>
      <c r="R100">
        <f>Q100*D100</f>
        <v>216.5</v>
      </c>
      <c r="S100" s="401">
        <f>AVERAGE(K100,M100,O100,R100)</f>
        <v>216.5</v>
      </c>
      <c r="T100" s="401">
        <f t="shared" si="65"/>
        <v>216.5</v>
      </c>
      <c r="U100" s="401">
        <f>MEDIAN(K100,M100,O100,Q100)</f>
        <v>216.5</v>
      </c>
      <c r="V100" s="401">
        <f t="shared" si="67"/>
        <v>216.5</v>
      </c>
    </row>
    <row r="101" spans="1:22">
      <c r="A101" s="111">
        <v>11</v>
      </c>
      <c r="B101" s="349" t="s">
        <v>525</v>
      </c>
      <c r="C101" s="111" t="s">
        <v>156</v>
      </c>
      <c r="D101" s="111">
        <v>1</v>
      </c>
      <c r="E101" s="426">
        <f t="shared" si="68"/>
        <v>26.09</v>
      </c>
      <c r="F101" s="113">
        <f t="shared" si="69"/>
        <v>26.09</v>
      </c>
      <c r="G101" s="114">
        <v>0.8</v>
      </c>
      <c r="H101" s="115">
        <v>60</v>
      </c>
      <c r="I101" s="116">
        <f t="shared" si="70"/>
        <v>0.34</v>
      </c>
      <c r="Q101">
        <v>26.09</v>
      </c>
      <c r="R101">
        <f>Q101*D101</f>
        <v>26.09</v>
      </c>
      <c r="S101" s="401">
        <f>AVERAGE(K101,M101,O101,R101)</f>
        <v>26.09</v>
      </c>
      <c r="T101" s="401">
        <f t="shared" si="65"/>
        <v>26.09</v>
      </c>
      <c r="U101" s="401">
        <f>MEDIAN(K101,M101,O101,Q101)</f>
        <v>26.09</v>
      </c>
      <c r="V101" s="401">
        <f t="shared" si="67"/>
        <v>26.09</v>
      </c>
    </row>
    <row r="102" spans="1:22">
      <c r="A102" s="646" t="s">
        <v>181</v>
      </c>
      <c r="B102" s="647"/>
      <c r="C102" s="647"/>
      <c r="D102" s="647"/>
      <c r="E102" s="659"/>
      <c r="F102" s="127">
        <f>SUM(F91:F98)</f>
        <v>1624.5200000000002</v>
      </c>
      <c r="G102" s="646"/>
      <c r="H102" s="659"/>
      <c r="I102" s="118">
        <f>ROUND(SUM(I91:I101),2)</f>
        <v>25.21</v>
      </c>
    </row>
    <row r="103" spans="1:22">
      <c r="A103" s="661" t="s">
        <v>176</v>
      </c>
      <c r="B103" s="662"/>
      <c r="C103" s="662"/>
      <c r="D103" s="662"/>
      <c r="E103" s="662"/>
      <c r="F103" s="662"/>
      <c r="G103" s="662"/>
      <c r="H103" s="176">
        <v>1</v>
      </c>
      <c r="I103" s="177">
        <f>TRUNC(I102/H103,2)</f>
        <v>25.21</v>
      </c>
    </row>
    <row r="104" spans="1:22">
      <c r="A104" s="119"/>
      <c r="B104" s="119"/>
      <c r="C104" s="119"/>
      <c r="D104" s="119"/>
      <c r="E104" s="119"/>
      <c r="F104" s="119"/>
      <c r="G104" s="119"/>
      <c r="H104" s="119"/>
      <c r="I104" s="119"/>
    </row>
    <row r="105" spans="1:22" ht="21">
      <c r="A105" s="663" t="s">
        <v>302</v>
      </c>
      <c r="B105" s="664"/>
      <c r="C105" s="664"/>
      <c r="D105" s="664"/>
      <c r="E105" s="664"/>
      <c r="F105" s="664"/>
      <c r="G105" s="664"/>
      <c r="H105" s="664"/>
      <c r="I105" s="664"/>
      <c r="K105" s="669" t="s">
        <v>599</v>
      </c>
      <c r="L105" s="669"/>
      <c r="M105" s="669"/>
      <c r="N105" s="669"/>
      <c r="O105" s="669"/>
      <c r="P105" s="669"/>
      <c r="Q105" s="395"/>
      <c r="R105" s="395"/>
      <c r="S105" s="670" t="s">
        <v>596</v>
      </c>
      <c r="T105" s="670"/>
      <c r="U105" s="670"/>
      <c r="V105" s="670"/>
    </row>
    <row r="106" spans="1:22" ht="63">
      <c r="A106" s="173" t="s">
        <v>171</v>
      </c>
      <c r="B106" s="174" t="s">
        <v>173</v>
      </c>
      <c r="C106" s="174" t="s">
        <v>177</v>
      </c>
      <c r="D106" s="174" t="s">
        <v>172</v>
      </c>
      <c r="E106" s="174" t="s">
        <v>174</v>
      </c>
      <c r="F106" s="174" t="s">
        <v>175</v>
      </c>
      <c r="G106" s="175" t="s">
        <v>178</v>
      </c>
      <c r="H106" s="175" t="s">
        <v>179</v>
      </c>
      <c r="I106" s="175" t="s">
        <v>180</v>
      </c>
      <c r="K106" s="169" t="s">
        <v>602</v>
      </c>
      <c r="L106" s="169" t="s">
        <v>483</v>
      </c>
      <c r="M106" s="169" t="s">
        <v>607</v>
      </c>
      <c r="N106" s="169" t="s">
        <v>483</v>
      </c>
      <c r="O106" s="169" t="s">
        <v>600</v>
      </c>
      <c r="P106" s="169" t="s">
        <v>483</v>
      </c>
      <c r="Q106" s="169"/>
      <c r="R106" s="169"/>
      <c r="S106" s="169" t="s">
        <v>603</v>
      </c>
      <c r="T106" s="169" t="s">
        <v>604</v>
      </c>
      <c r="U106" s="169" t="s">
        <v>605</v>
      </c>
      <c r="V106" s="169" t="s">
        <v>606</v>
      </c>
    </row>
    <row r="107" spans="1:22" ht="83.25" customHeight="1">
      <c r="A107" s="111">
        <v>1</v>
      </c>
      <c r="B107" s="112" t="s">
        <v>526</v>
      </c>
      <c r="C107" s="111" t="s">
        <v>156</v>
      </c>
      <c r="D107" s="111">
        <v>2</v>
      </c>
      <c r="E107" s="426">
        <f>U107</f>
        <v>1031.72</v>
      </c>
      <c r="F107" s="113">
        <f>TRUNC(D107*E107,2)</f>
        <v>2063.44</v>
      </c>
      <c r="G107" s="114">
        <v>0.8</v>
      </c>
      <c r="H107" s="115">
        <v>60</v>
      </c>
      <c r="I107" s="116">
        <f>TRUNC((F107*G107)/H107,2)</f>
        <v>27.51</v>
      </c>
      <c r="K107" s="398">
        <v>1031.72</v>
      </c>
      <c r="L107" s="398">
        <f>K107*D107</f>
        <v>2063.44</v>
      </c>
      <c r="M107" s="398">
        <v>1240.94</v>
      </c>
      <c r="N107" s="398">
        <f>M107*D107</f>
        <v>2481.88</v>
      </c>
      <c r="O107" s="398">
        <v>1026.21</v>
      </c>
      <c r="P107" s="398">
        <f>O107*D107</f>
        <v>2052.42</v>
      </c>
      <c r="Q107" s="398"/>
      <c r="R107" s="398"/>
      <c r="S107" s="398">
        <f>AVERAGE(K107,M107,O107)</f>
        <v>1099.6233333333332</v>
      </c>
      <c r="T107" s="398">
        <f>S107*D107</f>
        <v>2199.2466666666664</v>
      </c>
      <c r="U107" s="398">
        <f>MEDIAN(K107,M107,O107)</f>
        <v>1031.72</v>
      </c>
      <c r="V107" s="398">
        <f>U107*D107</f>
        <v>2063.44</v>
      </c>
    </row>
    <row r="108" spans="1:22">
      <c r="A108" s="646" t="s">
        <v>181</v>
      </c>
      <c r="B108" s="647"/>
      <c r="C108" s="647"/>
      <c r="D108" s="647"/>
      <c r="E108" s="659"/>
      <c r="F108" s="127">
        <f>SUM(F107:F107)</f>
        <v>2063.44</v>
      </c>
      <c r="G108" s="646"/>
      <c r="H108" s="659"/>
      <c r="I108" s="118">
        <f>ROUND(SUM(I107:I107),2)</f>
        <v>27.51</v>
      </c>
    </row>
    <row r="109" spans="1:22">
      <c r="A109" s="661" t="s">
        <v>176</v>
      </c>
      <c r="B109" s="662"/>
      <c r="C109" s="662"/>
      <c r="D109" s="662"/>
      <c r="E109" s="662"/>
      <c r="F109" s="662"/>
      <c r="G109" s="662"/>
      <c r="H109" s="176">
        <v>2</v>
      </c>
      <c r="I109" s="177">
        <f>TRUNC(I108/H109,2)</f>
        <v>13.75</v>
      </c>
    </row>
    <row r="110" spans="1:22">
      <c r="A110" s="119"/>
      <c r="B110" s="119"/>
      <c r="C110" s="119"/>
      <c r="D110" s="119"/>
      <c r="E110" s="119"/>
      <c r="F110" s="119"/>
      <c r="G110" s="119"/>
      <c r="H110" s="119"/>
      <c r="I110" s="119"/>
    </row>
    <row r="111" spans="1:22" ht="21">
      <c r="A111" s="663" t="s">
        <v>303</v>
      </c>
      <c r="B111" s="664"/>
      <c r="C111" s="664"/>
      <c r="D111" s="664"/>
      <c r="E111" s="664"/>
      <c r="F111" s="664"/>
      <c r="G111" s="664"/>
      <c r="H111" s="664"/>
      <c r="I111" s="664"/>
      <c r="K111" s="669" t="s">
        <v>599</v>
      </c>
      <c r="L111" s="669"/>
      <c r="M111" s="669"/>
      <c r="N111" s="669"/>
      <c r="O111" s="669"/>
      <c r="P111" s="669"/>
      <c r="Q111" s="395"/>
      <c r="R111" s="395"/>
      <c r="S111" s="670" t="s">
        <v>596</v>
      </c>
      <c r="T111" s="670"/>
      <c r="U111" s="670"/>
      <c r="V111" s="670"/>
    </row>
    <row r="112" spans="1:22" ht="47.25">
      <c r="A112" s="173" t="s">
        <v>171</v>
      </c>
      <c r="B112" s="174" t="s">
        <v>173</v>
      </c>
      <c r="C112" s="174" t="s">
        <v>177</v>
      </c>
      <c r="D112" s="174" t="s">
        <v>172</v>
      </c>
      <c r="E112" s="174" t="s">
        <v>174</v>
      </c>
      <c r="F112" s="174" t="s">
        <v>175</v>
      </c>
      <c r="G112" s="175" t="s">
        <v>178</v>
      </c>
      <c r="H112" s="175" t="s">
        <v>179</v>
      </c>
      <c r="I112" s="175" t="s">
        <v>180</v>
      </c>
      <c r="K112" s="169" t="s">
        <v>638</v>
      </c>
      <c r="L112" s="169" t="s">
        <v>483</v>
      </c>
      <c r="M112" s="169" t="s">
        <v>654</v>
      </c>
      <c r="N112" s="169" t="s">
        <v>483</v>
      </c>
      <c r="O112" s="169" t="s">
        <v>654</v>
      </c>
      <c r="P112" s="169" t="s">
        <v>483</v>
      </c>
      <c r="Q112" s="169" t="s">
        <v>654</v>
      </c>
      <c r="R112" s="169"/>
      <c r="S112" s="169" t="s">
        <v>603</v>
      </c>
      <c r="T112" s="169" t="s">
        <v>604</v>
      </c>
      <c r="U112" s="169" t="s">
        <v>605</v>
      </c>
      <c r="V112" s="169" t="s">
        <v>606</v>
      </c>
    </row>
    <row r="113" spans="1:22" ht="78.75">
      <c r="A113" s="111">
        <v>1</v>
      </c>
      <c r="B113" s="112" t="s">
        <v>418</v>
      </c>
      <c r="C113" s="111" t="s">
        <v>156</v>
      </c>
      <c r="D113" s="111">
        <v>1</v>
      </c>
      <c r="E113" s="426">
        <f>U113</f>
        <v>2319.9899999999998</v>
      </c>
      <c r="F113" s="113">
        <f>TRUNC(D113*E113,2)</f>
        <v>2319.9899999999998</v>
      </c>
      <c r="G113" s="114">
        <v>0.8</v>
      </c>
      <c r="H113" s="115">
        <v>60</v>
      </c>
      <c r="I113" s="116">
        <f>TRUNC((F113*G113)/H113,2)</f>
        <v>30.93</v>
      </c>
      <c r="K113" s="398"/>
      <c r="L113" s="398"/>
      <c r="M113" s="188">
        <v>2319.9899999999998</v>
      </c>
      <c r="N113" s="188"/>
      <c r="O113" s="188">
        <v>1289.99</v>
      </c>
      <c r="P113" s="188"/>
      <c r="Q113" s="188">
        <v>2409.9899999999998</v>
      </c>
      <c r="R113" s="188"/>
      <c r="S113" s="398">
        <f>AVERAGE(M113,O113,Q113)</f>
        <v>2006.6566666666665</v>
      </c>
      <c r="T113" s="188"/>
      <c r="U113" s="398">
        <f>MEDIAN(M113,O113,Q113)</f>
        <v>2319.9899999999998</v>
      </c>
      <c r="V113" s="188"/>
    </row>
    <row r="114" spans="1:22">
      <c r="A114" s="111">
        <v>2</v>
      </c>
      <c r="B114" s="117" t="s">
        <v>290</v>
      </c>
      <c r="C114" s="111" t="s">
        <v>156</v>
      </c>
      <c r="D114" s="111">
        <v>2</v>
      </c>
      <c r="E114" s="426">
        <f>U114</f>
        <v>1592.15</v>
      </c>
      <c r="F114" s="113">
        <f>TRUNC(D114*E114,2)</f>
        <v>3184.3</v>
      </c>
      <c r="G114" s="114">
        <v>0.8</v>
      </c>
      <c r="H114" s="115">
        <v>60</v>
      </c>
      <c r="I114" s="116">
        <f>TRUNC((F114*G114)/H114,2)</f>
        <v>42.45</v>
      </c>
      <c r="K114" s="398"/>
      <c r="L114" s="398"/>
      <c r="M114" s="188">
        <f>1520+45.29</f>
        <v>1565.29</v>
      </c>
      <c r="N114" s="188"/>
      <c r="O114" s="188">
        <v>2234.08</v>
      </c>
      <c r="P114" s="188"/>
      <c r="Q114" s="188">
        <f>57.67+1534.48</f>
        <v>1592.15</v>
      </c>
      <c r="R114" s="188"/>
      <c r="S114" s="398">
        <f>AVERAGE(M114,O114,Q114)</f>
        <v>1797.1733333333334</v>
      </c>
      <c r="T114" s="188"/>
      <c r="U114" s="398">
        <f>MEDIAN(M114,O114,Q114)</f>
        <v>1592.15</v>
      </c>
      <c r="V114" s="188"/>
    </row>
    <row r="115" spans="1:22">
      <c r="A115" s="111"/>
      <c r="B115" s="117"/>
      <c r="C115" s="111"/>
      <c r="D115" s="111"/>
      <c r="E115" s="352"/>
      <c r="F115" s="113"/>
      <c r="G115" s="114"/>
      <c r="H115" s="115"/>
      <c r="I115" s="116"/>
      <c r="K115" s="401"/>
      <c r="L115" s="401"/>
      <c r="S115" s="425"/>
      <c r="T115" s="417"/>
      <c r="U115" s="425"/>
      <c r="V115" s="417"/>
    </row>
    <row r="116" spans="1:22">
      <c r="A116" s="668" t="s">
        <v>181</v>
      </c>
      <c r="B116" s="668"/>
      <c r="C116" s="668"/>
      <c r="D116" s="668"/>
      <c r="E116" s="668"/>
      <c r="F116" s="127">
        <f>SUM(F113:F114)</f>
        <v>5504.29</v>
      </c>
      <c r="G116" s="668"/>
      <c r="H116" s="668"/>
      <c r="I116" s="118">
        <f>ROUND(SUM(I113:I114),2)</f>
        <v>73.38</v>
      </c>
      <c r="K116" s="401"/>
      <c r="L116" s="401"/>
    </row>
    <row r="117" spans="1:22">
      <c r="A117" s="661" t="s">
        <v>176</v>
      </c>
      <c r="B117" s="662"/>
      <c r="C117" s="662"/>
      <c r="D117" s="662"/>
      <c r="E117" s="662"/>
      <c r="F117" s="662"/>
      <c r="G117" s="662"/>
      <c r="H117" s="176">
        <v>2</v>
      </c>
      <c r="I117" s="177">
        <f>TRUNC(I116/H117,2)</f>
        <v>36.69</v>
      </c>
    </row>
    <row r="118" spans="1:22">
      <c r="A118" s="119"/>
      <c r="B118" s="119"/>
      <c r="C118" s="119"/>
      <c r="D118" s="119"/>
      <c r="E118" s="119"/>
      <c r="F118" s="119"/>
      <c r="G118" s="119"/>
      <c r="H118" s="119"/>
      <c r="I118" s="119"/>
    </row>
    <row r="120" spans="1:22" ht="21">
      <c r="A120" s="663" t="s">
        <v>368</v>
      </c>
      <c r="B120" s="664"/>
      <c r="C120" s="664"/>
      <c r="D120" s="664"/>
      <c r="E120" s="664"/>
      <c r="F120" s="664"/>
      <c r="G120" s="664"/>
      <c r="H120" s="664"/>
      <c r="I120" s="664"/>
      <c r="K120" s="655" t="s">
        <v>599</v>
      </c>
      <c r="L120" s="656"/>
      <c r="M120" s="656"/>
      <c r="N120" s="656"/>
      <c r="O120" s="656"/>
      <c r="P120" s="657"/>
      <c r="Q120" s="392"/>
      <c r="R120" s="392"/>
      <c r="S120" s="652" t="s">
        <v>596</v>
      </c>
      <c r="T120" s="653"/>
      <c r="U120" s="653"/>
      <c r="V120" s="654"/>
    </row>
    <row r="121" spans="1:22" ht="47.25">
      <c r="A121" s="173" t="s">
        <v>171</v>
      </c>
      <c r="B121" s="174" t="s">
        <v>173</v>
      </c>
      <c r="C121" s="174" t="s">
        <v>177</v>
      </c>
      <c r="D121" s="174" t="s">
        <v>172</v>
      </c>
      <c r="E121" s="174" t="s">
        <v>174</v>
      </c>
      <c r="F121" s="174" t="s">
        <v>175</v>
      </c>
      <c r="G121" s="175" t="s">
        <v>178</v>
      </c>
      <c r="H121" s="175" t="s">
        <v>179</v>
      </c>
      <c r="I121" s="175" t="s">
        <v>180</v>
      </c>
      <c r="K121" s="169" t="s">
        <v>620</v>
      </c>
      <c r="L121" s="169" t="s">
        <v>483</v>
      </c>
      <c r="M121" s="169" t="s">
        <v>611</v>
      </c>
      <c r="N121" s="169" t="s">
        <v>483</v>
      </c>
      <c r="O121" s="169" t="s">
        <v>621</v>
      </c>
      <c r="P121" s="169" t="s">
        <v>483</v>
      </c>
      <c r="Q121" s="169" t="s">
        <v>655</v>
      </c>
      <c r="R121" s="169"/>
      <c r="S121" s="169" t="s">
        <v>603</v>
      </c>
      <c r="T121" s="169" t="s">
        <v>604</v>
      </c>
      <c r="U121" s="169" t="s">
        <v>605</v>
      </c>
      <c r="V121" s="169" t="s">
        <v>606</v>
      </c>
    </row>
    <row r="122" spans="1:22">
      <c r="A122" s="353">
        <v>1</v>
      </c>
      <c r="B122" s="117" t="s">
        <v>411</v>
      </c>
      <c r="C122" s="428" t="s">
        <v>156</v>
      </c>
      <c r="D122" s="428">
        <v>3</v>
      </c>
      <c r="E122" s="429">
        <f>U122</f>
        <v>3306.96</v>
      </c>
      <c r="F122" s="427">
        <f>D122*E122</f>
        <v>9920.880000000001</v>
      </c>
      <c r="G122" s="430">
        <f>F122*0.8</f>
        <v>7936.7040000000015</v>
      </c>
      <c r="H122" s="354">
        <v>120</v>
      </c>
      <c r="I122" s="116">
        <f>TRUNC((G122/H122),2)</f>
        <v>66.13</v>
      </c>
      <c r="K122" s="398">
        <v>8807.39</v>
      </c>
      <c r="L122" s="398">
        <f>K122*D122</f>
        <v>26422.17</v>
      </c>
      <c r="M122" s="398">
        <v>2393.33</v>
      </c>
      <c r="N122" s="398">
        <f>M122*D122</f>
        <v>7179.99</v>
      </c>
      <c r="O122" s="398">
        <v>3306.96</v>
      </c>
      <c r="P122" s="402">
        <f t="shared" ref="P122:P128" si="73">O122*D122</f>
        <v>9920.880000000001</v>
      </c>
      <c r="Q122" s="402"/>
      <c r="R122" s="402"/>
      <c r="S122" s="403">
        <f t="shared" ref="S122:S128" si="74">AVERAGE(K122,M122,O122)</f>
        <v>4835.8933333333334</v>
      </c>
      <c r="T122" s="402">
        <f t="shared" ref="T122:T128" si="75">S122*D122</f>
        <v>14507.68</v>
      </c>
      <c r="U122" s="403">
        <f t="shared" ref="U122:U128" si="76">MEDIAN(K122,M122,O122)</f>
        <v>3306.96</v>
      </c>
      <c r="V122" s="402">
        <f t="shared" ref="V122:V128" si="77">U122*D122</f>
        <v>9920.880000000001</v>
      </c>
    </row>
    <row r="123" spans="1:22">
      <c r="A123" s="353">
        <v>2</v>
      </c>
      <c r="B123" s="117" t="s">
        <v>417</v>
      </c>
      <c r="C123" s="428" t="s">
        <v>156</v>
      </c>
      <c r="D123" s="428">
        <v>3</v>
      </c>
      <c r="E123" s="429">
        <f t="shared" ref="E123:E128" si="78">U123</f>
        <v>500</v>
      </c>
      <c r="F123" s="427">
        <f t="shared" ref="F123:F128" si="79">D123*E123</f>
        <v>1500</v>
      </c>
      <c r="G123" s="430">
        <f t="shared" ref="G123:G128" si="80">F123*0.8</f>
        <v>1200</v>
      </c>
      <c r="H123" s="354">
        <v>120</v>
      </c>
      <c r="I123" s="116">
        <f t="shared" ref="I123:I128" si="81">TRUNC((G123/H123),2)</f>
        <v>10</v>
      </c>
      <c r="K123" s="398"/>
      <c r="L123" s="398">
        <f t="shared" ref="L123:L128" si="82">K123*D123</f>
        <v>0</v>
      </c>
      <c r="M123" s="398"/>
      <c r="N123" s="398">
        <f t="shared" ref="N123:N128" si="83">M123*D123</f>
        <v>0</v>
      </c>
      <c r="O123" s="398"/>
      <c r="P123" s="402">
        <f t="shared" si="73"/>
        <v>0</v>
      </c>
      <c r="Q123" s="402">
        <v>500</v>
      </c>
      <c r="R123" s="402"/>
      <c r="S123" s="403">
        <f>AVERAGE(K123,M123,O123,Q123)</f>
        <v>500</v>
      </c>
      <c r="T123" s="402">
        <f t="shared" si="75"/>
        <v>1500</v>
      </c>
      <c r="U123" s="403">
        <f>MEDIAN(K123,M123,O123,Q123)</f>
        <v>500</v>
      </c>
      <c r="V123" s="402">
        <f t="shared" si="77"/>
        <v>1500</v>
      </c>
    </row>
    <row r="124" spans="1:22">
      <c r="A124" s="353">
        <v>3</v>
      </c>
      <c r="B124" s="117" t="s">
        <v>412</v>
      </c>
      <c r="C124" s="428" t="s">
        <v>156</v>
      </c>
      <c r="D124" s="428">
        <v>12</v>
      </c>
      <c r="E124" s="429">
        <f t="shared" si="78"/>
        <v>234.97</v>
      </c>
      <c r="F124" s="427">
        <f t="shared" si="79"/>
        <v>2819.64</v>
      </c>
      <c r="G124" s="430">
        <f t="shared" si="80"/>
        <v>2255.712</v>
      </c>
      <c r="H124" s="354">
        <v>60</v>
      </c>
      <c r="I124" s="116">
        <f t="shared" si="81"/>
        <v>37.590000000000003</v>
      </c>
      <c r="K124" s="398">
        <v>234.97</v>
      </c>
      <c r="L124" s="398">
        <f t="shared" si="82"/>
        <v>2819.64</v>
      </c>
      <c r="M124" s="398">
        <v>49.37</v>
      </c>
      <c r="N124" s="398">
        <f t="shared" si="83"/>
        <v>592.43999999999994</v>
      </c>
      <c r="O124" s="398">
        <v>612</v>
      </c>
      <c r="P124" s="402">
        <f t="shared" si="73"/>
        <v>7344</v>
      </c>
      <c r="Q124" s="402"/>
      <c r="R124" s="402"/>
      <c r="S124" s="403">
        <f t="shared" si="74"/>
        <v>298.77999999999997</v>
      </c>
      <c r="T124" s="402">
        <f t="shared" si="75"/>
        <v>3585.3599999999997</v>
      </c>
      <c r="U124" s="403">
        <f t="shared" si="76"/>
        <v>234.97</v>
      </c>
      <c r="V124" s="402">
        <f t="shared" si="77"/>
        <v>2819.64</v>
      </c>
    </row>
    <row r="125" spans="1:22">
      <c r="A125" s="353">
        <v>4</v>
      </c>
      <c r="B125" s="117" t="s">
        <v>413</v>
      </c>
      <c r="C125" s="428" t="s">
        <v>156</v>
      </c>
      <c r="D125" s="428">
        <v>12</v>
      </c>
      <c r="E125" s="429">
        <f t="shared" si="78"/>
        <v>60.95</v>
      </c>
      <c r="F125" s="427">
        <f t="shared" si="79"/>
        <v>731.40000000000009</v>
      </c>
      <c r="G125" s="430">
        <f t="shared" si="80"/>
        <v>585.12000000000012</v>
      </c>
      <c r="H125" s="354">
        <v>60</v>
      </c>
      <c r="I125" s="116">
        <f t="shared" si="81"/>
        <v>9.75</v>
      </c>
      <c r="K125" s="398">
        <v>60.95</v>
      </c>
      <c r="L125" s="398">
        <f t="shared" si="82"/>
        <v>731.40000000000009</v>
      </c>
      <c r="M125" s="398">
        <v>64.430000000000007</v>
      </c>
      <c r="N125" s="398">
        <f t="shared" si="83"/>
        <v>773.16000000000008</v>
      </c>
      <c r="O125" s="404">
        <v>52.2</v>
      </c>
      <c r="P125" s="402">
        <f t="shared" si="73"/>
        <v>626.40000000000009</v>
      </c>
      <c r="Q125" s="402"/>
      <c r="R125" s="402"/>
      <c r="S125" s="403">
        <f t="shared" si="74"/>
        <v>59.193333333333335</v>
      </c>
      <c r="T125" s="402">
        <f t="shared" si="75"/>
        <v>710.32</v>
      </c>
      <c r="U125" s="403">
        <f t="shared" si="76"/>
        <v>60.95</v>
      </c>
      <c r="V125" s="402">
        <f t="shared" si="77"/>
        <v>731.40000000000009</v>
      </c>
    </row>
    <row r="126" spans="1:22">
      <c r="A126" s="353">
        <v>5</v>
      </c>
      <c r="B126" s="117" t="s">
        <v>414</v>
      </c>
      <c r="C126" s="428" t="s">
        <v>156</v>
      </c>
      <c r="D126" s="428">
        <v>12</v>
      </c>
      <c r="E126" s="429">
        <f t="shared" si="78"/>
        <v>4.6100000000000003</v>
      </c>
      <c r="F126" s="427">
        <f t="shared" si="79"/>
        <v>55.320000000000007</v>
      </c>
      <c r="G126" s="430">
        <f t="shared" si="80"/>
        <v>44.256000000000007</v>
      </c>
      <c r="H126" s="354">
        <v>12</v>
      </c>
      <c r="I126" s="116">
        <f t="shared" si="81"/>
        <v>3.68</v>
      </c>
      <c r="K126" s="398">
        <v>6.57</v>
      </c>
      <c r="L126" s="398">
        <f t="shared" si="82"/>
        <v>78.84</v>
      </c>
      <c r="M126" s="398"/>
      <c r="N126" s="398">
        <f t="shared" si="83"/>
        <v>0</v>
      </c>
      <c r="O126" s="398">
        <v>2.65</v>
      </c>
      <c r="P126" s="402">
        <f t="shared" si="73"/>
        <v>31.799999999999997</v>
      </c>
      <c r="Q126" s="402"/>
      <c r="R126" s="402"/>
      <c r="S126" s="403">
        <f t="shared" si="74"/>
        <v>4.6100000000000003</v>
      </c>
      <c r="T126" s="402">
        <f t="shared" si="75"/>
        <v>55.320000000000007</v>
      </c>
      <c r="U126" s="403">
        <f t="shared" si="76"/>
        <v>4.6100000000000003</v>
      </c>
      <c r="V126" s="402">
        <f t="shared" si="77"/>
        <v>55.320000000000007</v>
      </c>
    </row>
    <row r="127" spans="1:22">
      <c r="A127" s="353">
        <v>6</v>
      </c>
      <c r="B127" s="117" t="s">
        <v>415</v>
      </c>
      <c r="C127" s="428" t="s">
        <v>156</v>
      </c>
      <c r="D127" s="428">
        <v>3</v>
      </c>
      <c r="E127" s="429">
        <f t="shared" si="78"/>
        <v>60.66</v>
      </c>
      <c r="F127" s="427">
        <f t="shared" si="79"/>
        <v>181.98</v>
      </c>
      <c r="G127" s="430">
        <f t="shared" si="80"/>
        <v>145.584</v>
      </c>
      <c r="H127" s="354">
        <v>12</v>
      </c>
      <c r="I127" s="116">
        <f t="shared" si="81"/>
        <v>12.13</v>
      </c>
      <c r="K127" s="398">
        <v>74.459999999999994</v>
      </c>
      <c r="L127" s="398">
        <f t="shared" si="82"/>
        <v>223.38</v>
      </c>
      <c r="M127" s="398">
        <v>60.66</v>
      </c>
      <c r="N127" s="398">
        <f t="shared" si="83"/>
        <v>181.98</v>
      </c>
      <c r="O127" s="398">
        <v>24.17</v>
      </c>
      <c r="P127" s="402">
        <f t="shared" si="73"/>
        <v>72.510000000000005</v>
      </c>
      <c r="Q127" s="402"/>
      <c r="R127" s="402"/>
      <c r="S127" s="403">
        <f t="shared" si="74"/>
        <v>53.096666666666671</v>
      </c>
      <c r="T127" s="402">
        <f t="shared" si="75"/>
        <v>159.29000000000002</v>
      </c>
      <c r="U127" s="403">
        <f t="shared" si="76"/>
        <v>60.66</v>
      </c>
      <c r="V127" s="402">
        <f t="shared" si="77"/>
        <v>181.98</v>
      </c>
    </row>
    <row r="128" spans="1:22">
      <c r="A128" s="353">
        <v>7</v>
      </c>
      <c r="B128" s="117" t="s">
        <v>416</v>
      </c>
      <c r="C128" s="428" t="s">
        <v>156</v>
      </c>
      <c r="D128" s="428">
        <v>12</v>
      </c>
      <c r="E128" s="429">
        <f t="shared" si="78"/>
        <v>684</v>
      </c>
      <c r="F128" s="427">
        <f t="shared" si="79"/>
        <v>8208</v>
      </c>
      <c r="G128" s="430">
        <f t="shared" si="80"/>
        <v>6566.4000000000005</v>
      </c>
      <c r="H128" s="354">
        <v>120</v>
      </c>
      <c r="I128" s="116">
        <f t="shared" si="81"/>
        <v>54.72</v>
      </c>
      <c r="K128" s="398">
        <v>1845</v>
      </c>
      <c r="L128" s="398">
        <f t="shared" si="82"/>
        <v>22140</v>
      </c>
      <c r="M128" s="398">
        <v>608.66999999999996</v>
      </c>
      <c r="N128" s="398">
        <f t="shared" si="83"/>
        <v>7304.0399999999991</v>
      </c>
      <c r="O128" s="398">
        <v>684</v>
      </c>
      <c r="P128" s="402">
        <f t="shared" si="73"/>
        <v>8208</v>
      </c>
      <c r="Q128" s="402"/>
      <c r="R128" s="402"/>
      <c r="S128" s="403">
        <f t="shared" si="74"/>
        <v>1045.8900000000001</v>
      </c>
      <c r="T128" s="402">
        <f t="shared" si="75"/>
        <v>12550.68</v>
      </c>
      <c r="U128" s="403">
        <f t="shared" si="76"/>
        <v>684</v>
      </c>
      <c r="V128" s="402">
        <f t="shared" si="77"/>
        <v>8208</v>
      </c>
    </row>
    <row r="129" spans="1:22" ht="30">
      <c r="A129" s="646" t="s">
        <v>181</v>
      </c>
      <c r="B129" s="647"/>
      <c r="C129" s="647"/>
      <c r="D129" s="647"/>
      <c r="E129" s="659"/>
      <c r="F129" s="127">
        <f>SUM(F125:F125)</f>
        <v>731.40000000000009</v>
      </c>
      <c r="G129" s="646"/>
      <c r="H129" s="659"/>
      <c r="I129" s="118">
        <f>ROUND(SUM(I122:I128),2)</f>
        <v>194</v>
      </c>
      <c r="K129" s="401"/>
      <c r="L129" s="401"/>
      <c r="M129" s="401"/>
      <c r="N129" s="401"/>
      <c r="O129" s="405" t="s">
        <v>622</v>
      </c>
    </row>
    <row r="130" spans="1:22" ht="30">
      <c r="A130" s="661" t="s">
        <v>176</v>
      </c>
      <c r="B130" s="662"/>
      <c r="C130" s="662"/>
      <c r="D130" s="662"/>
      <c r="E130" s="662"/>
      <c r="F130" s="662"/>
      <c r="G130" s="662"/>
      <c r="H130" s="176">
        <v>6</v>
      </c>
      <c r="I130" s="177">
        <f>TRUNC(I129/H130,2)</f>
        <v>32.33</v>
      </c>
      <c r="O130" s="406" t="s">
        <v>623</v>
      </c>
    </row>
    <row r="131" spans="1:22">
      <c r="G131" s="431"/>
      <c r="H131" s="431"/>
    </row>
    <row r="132" spans="1:22" ht="21">
      <c r="A132" s="663" t="s">
        <v>369</v>
      </c>
      <c r="B132" s="664"/>
      <c r="C132" s="664"/>
      <c r="D132" s="664"/>
      <c r="E132" s="664"/>
      <c r="F132" s="664"/>
      <c r="G132" s="664"/>
      <c r="H132" s="664"/>
      <c r="I132" s="664"/>
    </row>
    <row r="133" spans="1:22" ht="30">
      <c r="A133" s="173" t="s">
        <v>171</v>
      </c>
      <c r="B133" s="174" t="s">
        <v>173</v>
      </c>
      <c r="C133" s="174" t="s">
        <v>177</v>
      </c>
      <c r="D133" s="174" t="s">
        <v>172</v>
      </c>
      <c r="E133" s="174" t="s">
        <v>174</v>
      </c>
      <c r="F133" s="174" t="s">
        <v>175</v>
      </c>
      <c r="G133" s="175" t="s">
        <v>178</v>
      </c>
      <c r="H133" s="175" t="s">
        <v>179</v>
      </c>
      <c r="I133" s="175" t="s">
        <v>180</v>
      </c>
      <c r="K133" s="660" t="s">
        <v>599</v>
      </c>
      <c r="L133" s="660"/>
      <c r="M133" s="660"/>
      <c r="N133" s="660"/>
      <c r="O133" s="660" t="s">
        <v>609</v>
      </c>
      <c r="P133" s="660"/>
      <c r="Q133" s="391"/>
      <c r="R133" s="391"/>
      <c r="S133" s="652" t="s">
        <v>596</v>
      </c>
      <c r="T133" s="653"/>
      <c r="U133" s="653"/>
      <c r="V133" s="654"/>
    </row>
    <row r="134" spans="1:22" ht="47.25">
      <c r="A134" s="296"/>
      <c r="B134" s="407" t="s">
        <v>446</v>
      </c>
      <c r="C134" s="297"/>
      <c r="D134" s="297"/>
      <c r="E134" s="297"/>
      <c r="F134" s="297"/>
      <c r="G134" s="298"/>
      <c r="H134" s="298"/>
      <c r="I134" s="298"/>
      <c r="K134" s="169" t="s">
        <v>624</v>
      </c>
      <c r="L134" s="169" t="s">
        <v>483</v>
      </c>
      <c r="M134" s="169" t="s">
        <v>684</v>
      </c>
      <c r="N134" s="169" t="s">
        <v>483</v>
      </c>
      <c r="O134" s="169" t="s">
        <v>625</v>
      </c>
      <c r="P134" s="169" t="s">
        <v>483</v>
      </c>
      <c r="Q134" s="169" t="s">
        <v>638</v>
      </c>
      <c r="R134" s="169"/>
      <c r="S134" s="169" t="s">
        <v>603</v>
      </c>
      <c r="T134" s="169" t="s">
        <v>604</v>
      </c>
      <c r="U134" s="169" t="s">
        <v>605</v>
      </c>
      <c r="V134" s="169" t="s">
        <v>606</v>
      </c>
    </row>
    <row r="135" spans="1:22" ht="31.5">
      <c r="A135" s="353">
        <v>1</v>
      </c>
      <c r="B135" s="112" t="s">
        <v>427</v>
      </c>
      <c r="C135" s="111" t="s">
        <v>156</v>
      </c>
      <c r="D135" s="111">
        <v>1</v>
      </c>
      <c r="E135" s="432">
        <f>U135</f>
        <v>6602.5</v>
      </c>
      <c r="F135" s="435">
        <f>D135*E135</f>
        <v>6602.5</v>
      </c>
      <c r="G135" s="433">
        <f>F135*0.8</f>
        <v>5282</v>
      </c>
      <c r="H135" s="434">
        <v>60</v>
      </c>
      <c r="I135" s="116">
        <f>TRUNC((G135/H135),2)</f>
        <v>88.03</v>
      </c>
      <c r="K135" s="385"/>
      <c r="L135" s="385">
        <f>K135*D135</f>
        <v>0</v>
      </c>
      <c r="M135" s="385"/>
      <c r="N135" s="385">
        <f>M135*D135</f>
        <v>0</v>
      </c>
      <c r="O135" s="385"/>
      <c r="P135" s="385">
        <f t="shared" ref="P135:P168" si="84">O135*D135</f>
        <v>0</v>
      </c>
      <c r="Q135" s="385">
        <v>6602.5</v>
      </c>
      <c r="R135" s="385">
        <f>Q135*D135</f>
        <v>6602.5</v>
      </c>
      <c r="S135" s="387">
        <f>AVERAGE(K135,M135,O135,Q135)</f>
        <v>6602.5</v>
      </c>
      <c r="T135" s="398">
        <f t="shared" ref="T135:T168" si="85">S135*D135</f>
        <v>6602.5</v>
      </c>
      <c r="U135" s="387">
        <f>MEDIAN(K135,M135,O135,Q135)</f>
        <v>6602.5</v>
      </c>
      <c r="V135" s="409">
        <f t="shared" ref="V135:V168" si="86">U135*D135</f>
        <v>6602.5</v>
      </c>
    </row>
    <row r="136" spans="1:22">
      <c r="A136" s="353">
        <v>2</v>
      </c>
      <c r="B136" s="112" t="s">
        <v>428</v>
      </c>
      <c r="C136" s="111" t="s">
        <v>156</v>
      </c>
      <c r="D136" s="111">
        <v>1</v>
      </c>
      <c r="E136" s="432">
        <f t="shared" ref="E136:E168" si="87">U136</f>
        <v>688.96499999999992</v>
      </c>
      <c r="F136" s="435">
        <f t="shared" ref="F136:F153" si="88">D136*E136</f>
        <v>688.96499999999992</v>
      </c>
      <c r="G136" s="433">
        <f>F136*0.8</f>
        <v>551.17199999999991</v>
      </c>
      <c r="H136" s="434">
        <v>60</v>
      </c>
      <c r="I136" s="116">
        <f t="shared" ref="I136:I168" si="89">TRUNC((G136/H136),2)</f>
        <v>9.18</v>
      </c>
      <c r="K136" s="385">
        <v>1083.33</v>
      </c>
      <c r="L136" s="385">
        <f t="shared" ref="L136:L168" si="90">K136*D136</f>
        <v>1083.33</v>
      </c>
      <c r="M136" s="385"/>
      <c r="N136" s="385">
        <f t="shared" ref="N136:N168" si="91">M136*D136</f>
        <v>0</v>
      </c>
      <c r="O136" s="385">
        <v>294.60000000000002</v>
      </c>
      <c r="P136" s="385">
        <f t="shared" si="84"/>
        <v>294.60000000000002</v>
      </c>
      <c r="Q136" s="385"/>
      <c r="R136" s="385"/>
      <c r="S136" s="387">
        <f t="shared" ref="S136:S168" si="92">AVERAGE(K136,M136,O136)</f>
        <v>688.96499999999992</v>
      </c>
      <c r="T136" s="408">
        <f t="shared" si="85"/>
        <v>688.96499999999992</v>
      </c>
      <c r="U136" s="387">
        <f t="shared" ref="U136:U168" si="93">MEDIAN(K136,M136,O136)</f>
        <v>688.96499999999992</v>
      </c>
      <c r="V136" s="409">
        <f t="shared" si="86"/>
        <v>688.96499999999992</v>
      </c>
    </row>
    <row r="137" spans="1:22">
      <c r="A137" s="353">
        <v>3</v>
      </c>
      <c r="B137" s="112" t="s">
        <v>429</v>
      </c>
      <c r="C137" s="111" t="s">
        <v>156</v>
      </c>
      <c r="D137" s="111">
        <v>3</v>
      </c>
      <c r="E137" s="432">
        <f t="shared" si="87"/>
        <v>11.25</v>
      </c>
      <c r="F137" s="435">
        <f t="shared" si="88"/>
        <v>33.75</v>
      </c>
      <c r="G137" s="433">
        <f t="shared" ref="G137:G152" si="94">F137*0.8</f>
        <v>27</v>
      </c>
      <c r="H137" s="434">
        <v>60</v>
      </c>
      <c r="I137" s="116">
        <f t="shared" si="89"/>
        <v>0.45</v>
      </c>
      <c r="K137" s="385">
        <v>11.25</v>
      </c>
      <c r="L137" s="385">
        <f t="shared" si="90"/>
        <v>33.75</v>
      </c>
      <c r="M137" s="385"/>
      <c r="N137" s="385">
        <f t="shared" si="91"/>
        <v>0</v>
      </c>
      <c r="O137" s="385"/>
      <c r="P137" s="385">
        <f t="shared" si="84"/>
        <v>0</v>
      </c>
      <c r="Q137" s="385"/>
      <c r="R137" s="385"/>
      <c r="S137" s="387">
        <f t="shared" si="92"/>
        <v>11.25</v>
      </c>
      <c r="T137" s="408">
        <f t="shared" si="85"/>
        <v>33.75</v>
      </c>
      <c r="U137" s="387">
        <f t="shared" si="93"/>
        <v>11.25</v>
      </c>
      <c r="V137" s="409">
        <f t="shared" si="86"/>
        <v>33.75</v>
      </c>
    </row>
    <row r="138" spans="1:22" ht="63">
      <c r="A138" s="353">
        <v>4</v>
      </c>
      <c r="B138" s="112" t="s">
        <v>430</v>
      </c>
      <c r="C138" s="111" t="s">
        <v>156</v>
      </c>
      <c r="D138" s="111">
        <v>3</v>
      </c>
      <c r="E138" s="432">
        <f t="shared" si="87"/>
        <v>75.465000000000003</v>
      </c>
      <c r="F138" s="435">
        <f t="shared" si="88"/>
        <v>226.39500000000001</v>
      </c>
      <c r="G138" s="433">
        <f t="shared" si="94"/>
        <v>181.11600000000001</v>
      </c>
      <c r="H138" s="434">
        <v>60</v>
      </c>
      <c r="I138" s="116">
        <f t="shared" si="89"/>
        <v>3.01</v>
      </c>
      <c r="K138" s="385">
        <v>76.61</v>
      </c>
      <c r="L138" s="385">
        <f t="shared" si="90"/>
        <v>229.82999999999998</v>
      </c>
      <c r="M138" s="385">
        <v>74.319999999999993</v>
      </c>
      <c r="N138" s="385">
        <f t="shared" si="91"/>
        <v>222.95999999999998</v>
      </c>
      <c r="O138" s="385"/>
      <c r="P138" s="385">
        <f t="shared" si="84"/>
        <v>0</v>
      </c>
      <c r="Q138" s="385"/>
      <c r="R138" s="385"/>
      <c r="S138" s="387">
        <f t="shared" si="92"/>
        <v>75.465000000000003</v>
      </c>
      <c r="T138" s="408">
        <f t="shared" si="85"/>
        <v>226.39500000000001</v>
      </c>
      <c r="U138" s="387">
        <f t="shared" si="93"/>
        <v>75.465000000000003</v>
      </c>
      <c r="V138" s="409">
        <f t="shared" si="86"/>
        <v>226.39500000000001</v>
      </c>
    </row>
    <row r="139" spans="1:22">
      <c r="A139" s="353">
        <v>5</v>
      </c>
      <c r="B139" s="112" t="s">
        <v>431</v>
      </c>
      <c r="C139" s="111" t="s">
        <v>156</v>
      </c>
      <c r="D139" s="111">
        <v>3</v>
      </c>
      <c r="E139" s="432">
        <f t="shared" si="87"/>
        <v>181.26</v>
      </c>
      <c r="F139" s="435">
        <f t="shared" si="88"/>
        <v>543.78</v>
      </c>
      <c r="G139" s="433">
        <f t="shared" si="94"/>
        <v>435.024</v>
      </c>
      <c r="H139" s="434">
        <v>60</v>
      </c>
      <c r="I139" s="116">
        <f t="shared" si="89"/>
        <v>7.25</v>
      </c>
      <c r="K139" s="385">
        <v>181.26</v>
      </c>
      <c r="L139" s="385">
        <f t="shared" si="90"/>
        <v>543.78</v>
      </c>
      <c r="M139" s="385">
        <v>199.98</v>
      </c>
      <c r="N139" s="385">
        <f t="shared" si="91"/>
        <v>599.93999999999994</v>
      </c>
      <c r="O139" s="385">
        <v>61.77</v>
      </c>
      <c r="P139" s="385">
        <f t="shared" si="84"/>
        <v>185.31</v>
      </c>
      <c r="Q139" s="385"/>
      <c r="R139" s="385"/>
      <c r="S139" s="387">
        <f t="shared" si="92"/>
        <v>147.66999999999999</v>
      </c>
      <c r="T139" s="408">
        <f t="shared" si="85"/>
        <v>443.01</v>
      </c>
      <c r="U139" s="387">
        <f t="shared" si="93"/>
        <v>181.26</v>
      </c>
      <c r="V139" s="409">
        <f t="shared" si="86"/>
        <v>543.78</v>
      </c>
    </row>
    <row r="140" spans="1:22" ht="31.5">
      <c r="A140" s="353">
        <v>6</v>
      </c>
      <c r="B140" s="112" t="s">
        <v>432</v>
      </c>
      <c r="C140" s="111" t="s">
        <v>156</v>
      </c>
      <c r="D140" s="111">
        <v>1</v>
      </c>
      <c r="E140" s="432">
        <f t="shared" si="87"/>
        <v>573.54999999999995</v>
      </c>
      <c r="F140" s="435">
        <f t="shared" si="88"/>
        <v>573.54999999999995</v>
      </c>
      <c r="G140" s="433">
        <f t="shared" si="94"/>
        <v>458.84</v>
      </c>
      <c r="H140" s="434">
        <v>60</v>
      </c>
      <c r="I140" s="116">
        <f t="shared" si="89"/>
        <v>7.64</v>
      </c>
      <c r="K140" s="385"/>
      <c r="L140" s="385">
        <f t="shared" si="90"/>
        <v>0</v>
      </c>
      <c r="M140" s="385"/>
      <c r="N140" s="385">
        <f t="shared" si="91"/>
        <v>0</v>
      </c>
      <c r="O140" s="385"/>
      <c r="P140" s="385">
        <f t="shared" si="84"/>
        <v>0</v>
      </c>
      <c r="Q140" s="385">
        <v>573.54999999999995</v>
      </c>
      <c r="R140" s="385">
        <f>Q140*D140</f>
        <v>573.54999999999995</v>
      </c>
      <c r="S140" s="387">
        <f>AVERAGE(K140,M140,O140,Q140)</f>
        <v>573.54999999999995</v>
      </c>
      <c r="T140" s="408">
        <f t="shared" si="85"/>
        <v>573.54999999999995</v>
      </c>
      <c r="U140" s="387">
        <f>MEDIAN(K140,M140,O140,Q140)</f>
        <v>573.54999999999995</v>
      </c>
      <c r="V140" s="409">
        <f t="shared" si="86"/>
        <v>573.54999999999995</v>
      </c>
    </row>
    <row r="141" spans="1:22" ht="47.25">
      <c r="A141" s="353">
        <v>7</v>
      </c>
      <c r="B141" s="112" t="s">
        <v>433</v>
      </c>
      <c r="C141" s="111" t="s">
        <v>156</v>
      </c>
      <c r="D141" s="111">
        <v>1</v>
      </c>
      <c r="E141" s="432">
        <f t="shared" si="87"/>
        <v>61.989999999999995</v>
      </c>
      <c r="F141" s="435">
        <f t="shared" si="88"/>
        <v>61.989999999999995</v>
      </c>
      <c r="G141" s="433">
        <f t="shared" si="94"/>
        <v>49.591999999999999</v>
      </c>
      <c r="H141" s="434">
        <v>60</v>
      </c>
      <c r="I141" s="116">
        <f t="shared" si="89"/>
        <v>0.82</v>
      </c>
      <c r="K141" s="385">
        <v>49.16</v>
      </c>
      <c r="L141" s="385">
        <f t="shared" si="90"/>
        <v>49.16</v>
      </c>
      <c r="M141" s="385"/>
      <c r="N141" s="385">
        <f t="shared" si="91"/>
        <v>0</v>
      </c>
      <c r="O141" s="385">
        <v>74.819999999999993</v>
      </c>
      <c r="P141" s="385">
        <f t="shared" si="84"/>
        <v>74.819999999999993</v>
      </c>
      <c r="Q141" s="385"/>
      <c r="R141" s="385"/>
      <c r="S141" s="387">
        <f t="shared" si="92"/>
        <v>61.989999999999995</v>
      </c>
      <c r="T141" s="408">
        <f t="shared" si="85"/>
        <v>61.989999999999995</v>
      </c>
      <c r="U141" s="387">
        <f t="shared" si="93"/>
        <v>61.989999999999995</v>
      </c>
      <c r="V141" s="409">
        <f t="shared" si="86"/>
        <v>61.989999999999995</v>
      </c>
    </row>
    <row r="142" spans="1:22">
      <c r="A142" s="353">
        <v>8</v>
      </c>
      <c r="B142" s="112" t="s">
        <v>434</v>
      </c>
      <c r="C142" s="111" t="s">
        <v>156</v>
      </c>
      <c r="D142" s="111">
        <v>1</v>
      </c>
      <c r="E142" s="432">
        <f t="shared" si="87"/>
        <v>314.82</v>
      </c>
      <c r="F142" s="435">
        <f t="shared" si="88"/>
        <v>314.82</v>
      </c>
      <c r="G142" s="433">
        <f t="shared" si="94"/>
        <v>251.85599999999999</v>
      </c>
      <c r="H142" s="434">
        <v>60</v>
      </c>
      <c r="I142" s="116">
        <f t="shared" si="89"/>
        <v>4.1900000000000004</v>
      </c>
      <c r="K142" s="385"/>
      <c r="L142" s="385">
        <f t="shared" si="90"/>
        <v>0</v>
      </c>
      <c r="M142" s="385"/>
      <c r="N142" s="385">
        <f t="shared" si="91"/>
        <v>0</v>
      </c>
      <c r="O142" s="385">
        <v>314.82</v>
      </c>
      <c r="P142" s="385">
        <f t="shared" si="84"/>
        <v>314.82</v>
      </c>
      <c r="Q142" s="385"/>
      <c r="R142" s="385"/>
      <c r="S142" s="387">
        <f t="shared" si="92"/>
        <v>314.82</v>
      </c>
      <c r="T142" s="408">
        <f t="shared" si="85"/>
        <v>314.82</v>
      </c>
      <c r="U142" s="387">
        <f t="shared" si="93"/>
        <v>314.82</v>
      </c>
      <c r="V142" s="409">
        <f t="shared" si="86"/>
        <v>314.82</v>
      </c>
    </row>
    <row r="143" spans="1:22" ht="63">
      <c r="A143" s="353">
        <v>9</v>
      </c>
      <c r="B143" s="112" t="s">
        <v>435</v>
      </c>
      <c r="C143" s="111" t="s">
        <v>156</v>
      </c>
      <c r="D143" s="111">
        <v>3</v>
      </c>
      <c r="E143" s="432">
        <f t="shared" si="87"/>
        <v>8.3800000000000008</v>
      </c>
      <c r="F143" s="435">
        <f t="shared" si="88"/>
        <v>25.14</v>
      </c>
      <c r="G143" s="433">
        <f t="shared" si="94"/>
        <v>20.112000000000002</v>
      </c>
      <c r="H143" s="434">
        <v>60</v>
      </c>
      <c r="I143" s="116">
        <f t="shared" si="89"/>
        <v>0.33</v>
      </c>
      <c r="K143" s="188"/>
      <c r="L143" s="385">
        <f t="shared" si="90"/>
        <v>0</v>
      </c>
      <c r="M143" s="188"/>
      <c r="N143" s="385">
        <f t="shared" si="91"/>
        <v>0</v>
      </c>
      <c r="O143" s="188"/>
      <c r="P143" s="385">
        <f t="shared" si="84"/>
        <v>0</v>
      </c>
      <c r="Q143" s="385">
        <v>8.3800000000000008</v>
      </c>
      <c r="R143" s="385">
        <f>Q143*D143</f>
        <v>25.14</v>
      </c>
      <c r="S143" s="387">
        <f>AVERAGE(K143,M143,O143,Q143)</f>
        <v>8.3800000000000008</v>
      </c>
      <c r="T143" s="408">
        <f t="shared" si="85"/>
        <v>25.14</v>
      </c>
      <c r="U143" s="387">
        <f>MEDIAN(K143,M143,O143,Q143)</f>
        <v>8.3800000000000008</v>
      </c>
      <c r="V143" s="409">
        <f t="shared" si="86"/>
        <v>25.14</v>
      </c>
    </row>
    <row r="144" spans="1:22" ht="31.5">
      <c r="A144" s="353">
        <v>10</v>
      </c>
      <c r="B144" s="112" t="s">
        <v>436</v>
      </c>
      <c r="C144" s="111" t="s">
        <v>156</v>
      </c>
      <c r="D144" s="111">
        <v>1</v>
      </c>
      <c r="E144" s="432">
        <f t="shared" si="87"/>
        <v>149.185</v>
      </c>
      <c r="F144" s="435">
        <f t="shared" si="88"/>
        <v>149.185</v>
      </c>
      <c r="G144" s="433">
        <f t="shared" si="94"/>
        <v>119.34800000000001</v>
      </c>
      <c r="H144" s="434">
        <v>60</v>
      </c>
      <c r="I144" s="116">
        <f t="shared" si="89"/>
        <v>1.98</v>
      </c>
      <c r="K144" s="188">
        <v>215.31</v>
      </c>
      <c r="L144" s="385">
        <f t="shared" si="90"/>
        <v>215.31</v>
      </c>
      <c r="M144" s="188"/>
      <c r="N144" s="385">
        <f t="shared" si="91"/>
        <v>0</v>
      </c>
      <c r="O144" s="188">
        <v>83.06</v>
      </c>
      <c r="P144" s="385">
        <f t="shared" si="84"/>
        <v>83.06</v>
      </c>
      <c r="Q144" s="385"/>
      <c r="R144" s="385"/>
      <c r="S144" s="387">
        <f t="shared" si="92"/>
        <v>149.185</v>
      </c>
      <c r="T144" s="408">
        <f t="shared" si="85"/>
        <v>149.185</v>
      </c>
      <c r="U144" s="387">
        <f t="shared" si="93"/>
        <v>149.185</v>
      </c>
      <c r="V144" s="409">
        <f t="shared" si="86"/>
        <v>149.185</v>
      </c>
    </row>
    <row r="145" spans="1:22" ht="47.25">
      <c r="A145" s="353">
        <v>11</v>
      </c>
      <c r="B145" s="112" t="s">
        <v>437</v>
      </c>
      <c r="C145" s="111" t="s">
        <v>156</v>
      </c>
      <c r="D145" s="111">
        <v>3</v>
      </c>
      <c r="E145" s="432">
        <f t="shared" si="87"/>
        <v>70.16</v>
      </c>
      <c r="F145" s="435">
        <f t="shared" si="88"/>
        <v>210.48</v>
      </c>
      <c r="G145" s="433">
        <f t="shared" si="94"/>
        <v>168.38400000000001</v>
      </c>
      <c r="H145" s="434">
        <v>60</v>
      </c>
      <c r="I145" s="116">
        <f t="shared" si="89"/>
        <v>2.8</v>
      </c>
      <c r="K145" s="188">
        <v>50.97</v>
      </c>
      <c r="L145" s="385">
        <f t="shared" si="90"/>
        <v>152.91</v>
      </c>
      <c r="M145" s="188">
        <v>89.35</v>
      </c>
      <c r="N145" s="385">
        <f t="shared" si="91"/>
        <v>268.04999999999995</v>
      </c>
      <c r="O145" s="188"/>
      <c r="P145" s="385">
        <f t="shared" si="84"/>
        <v>0</v>
      </c>
      <c r="Q145" s="385"/>
      <c r="R145" s="385"/>
      <c r="S145" s="387">
        <f t="shared" si="92"/>
        <v>70.16</v>
      </c>
      <c r="T145" s="408">
        <f t="shared" si="85"/>
        <v>210.48</v>
      </c>
      <c r="U145" s="387">
        <f t="shared" si="93"/>
        <v>70.16</v>
      </c>
      <c r="V145" s="409">
        <f t="shared" si="86"/>
        <v>210.48</v>
      </c>
    </row>
    <row r="146" spans="1:22" ht="47.25">
      <c r="A146" s="353">
        <v>12</v>
      </c>
      <c r="B146" s="112" t="s">
        <v>438</v>
      </c>
      <c r="C146" s="111" t="s">
        <v>156</v>
      </c>
      <c r="D146" s="111">
        <v>3</v>
      </c>
      <c r="E146" s="432">
        <f t="shared" si="87"/>
        <v>3.86</v>
      </c>
      <c r="F146" s="435">
        <f t="shared" si="88"/>
        <v>11.58</v>
      </c>
      <c r="G146" s="433">
        <f t="shared" si="94"/>
        <v>9.2640000000000011</v>
      </c>
      <c r="H146" s="434">
        <v>60</v>
      </c>
      <c r="I146" s="116">
        <f t="shared" si="89"/>
        <v>0.15</v>
      </c>
      <c r="K146" s="188"/>
      <c r="L146" s="385">
        <f t="shared" si="90"/>
        <v>0</v>
      </c>
      <c r="M146" s="188"/>
      <c r="N146" s="385">
        <f t="shared" si="91"/>
        <v>0</v>
      </c>
      <c r="O146" s="188"/>
      <c r="P146" s="385">
        <f t="shared" si="84"/>
        <v>0</v>
      </c>
      <c r="Q146" s="385">
        <v>3.86</v>
      </c>
      <c r="R146" s="385"/>
      <c r="S146" s="387">
        <f>AVERAGE(K146,M146,O146,Q146)</f>
        <v>3.86</v>
      </c>
      <c r="T146" s="408">
        <f t="shared" ref="T146" si="95">S146*D146</f>
        <v>11.58</v>
      </c>
      <c r="U146" s="387">
        <f>MEDIAN(K146,M146,O146,Q146)</f>
        <v>3.86</v>
      </c>
      <c r="V146" s="409">
        <f t="shared" ref="V146" si="96">U146*D146</f>
        <v>11.58</v>
      </c>
    </row>
    <row r="147" spans="1:22" ht="47.25">
      <c r="A147" s="353">
        <v>13</v>
      </c>
      <c r="B147" s="112" t="s">
        <v>439</v>
      </c>
      <c r="C147" s="111" t="s">
        <v>156</v>
      </c>
      <c r="D147" s="111">
        <v>1</v>
      </c>
      <c r="E147" s="432">
        <f t="shared" si="87"/>
        <v>102.38</v>
      </c>
      <c r="F147" s="435">
        <f t="shared" si="88"/>
        <v>102.38</v>
      </c>
      <c r="G147" s="433">
        <f t="shared" si="94"/>
        <v>81.903999999999996</v>
      </c>
      <c r="H147" s="434">
        <v>60</v>
      </c>
      <c r="I147" s="116">
        <f t="shared" si="89"/>
        <v>1.36</v>
      </c>
      <c r="K147" s="188"/>
      <c r="L147" s="385">
        <f t="shared" si="90"/>
        <v>0</v>
      </c>
      <c r="M147" s="188"/>
      <c r="N147" s="385">
        <f t="shared" si="91"/>
        <v>0</v>
      </c>
      <c r="O147" s="188"/>
      <c r="P147" s="385">
        <f t="shared" si="84"/>
        <v>0</v>
      </c>
      <c r="Q147" s="385">
        <v>102.38</v>
      </c>
      <c r="R147" s="385">
        <f>Q147*D147</f>
        <v>102.38</v>
      </c>
      <c r="S147" s="387">
        <f>AVERAGE(K147,M147,O147,Q147)</f>
        <v>102.38</v>
      </c>
      <c r="T147" s="408">
        <f t="shared" si="85"/>
        <v>102.38</v>
      </c>
      <c r="U147" s="387">
        <f>MEDIAN(K147,M147,O147,Q147)</f>
        <v>102.38</v>
      </c>
      <c r="V147" s="409">
        <f t="shared" si="86"/>
        <v>102.38</v>
      </c>
    </row>
    <row r="148" spans="1:22" ht="47.25">
      <c r="A148" s="353">
        <v>14</v>
      </c>
      <c r="B148" s="112" t="s">
        <v>440</v>
      </c>
      <c r="C148" s="111" t="s">
        <v>156</v>
      </c>
      <c r="D148" s="111">
        <v>1</v>
      </c>
      <c r="E148" s="432">
        <f t="shared" si="87"/>
        <v>26.67</v>
      </c>
      <c r="F148" s="435">
        <f t="shared" si="88"/>
        <v>26.67</v>
      </c>
      <c r="G148" s="433">
        <f t="shared" si="94"/>
        <v>21.336000000000002</v>
      </c>
      <c r="H148" s="434">
        <v>60</v>
      </c>
      <c r="I148" s="116">
        <f t="shared" si="89"/>
        <v>0.35</v>
      </c>
      <c r="K148" s="188"/>
      <c r="L148" s="385">
        <f t="shared" si="90"/>
        <v>0</v>
      </c>
      <c r="M148" s="188"/>
      <c r="N148" s="385">
        <f t="shared" si="91"/>
        <v>0</v>
      </c>
      <c r="O148" s="188"/>
      <c r="P148" s="385">
        <f t="shared" si="84"/>
        <v>0</v>
      </c>
      <c r="Q148" s="385">
        <v>26.67</v>
      </c>
      <c r="R148" s="385">
        <f>Q148*D148</f>
        <v>26.67</v>
      </c>
      <c r="S148" s="387">
        <f>AVERAGE(K148,M148,O148,Q148)</f>
        <v>26.67</v>
      </c>
      <c r="T148" s="408">
        <f t="shared" si="85"/>
        <v>26.67</v>
      </c>
      <c r="U148" s="387">
        <f>MEDIAN(K148,M148,O148,Q148)</f>
        <v>26.67</v>
      </c>
      <c r="V148" s="409">
        <f t="shared" si="86"/>
        <v>26.67</v>
      </c>
    </row>
    <row r="149" spans="1:22" ht="157.5">
      <c r="A149" s="353">
        <v>15</v>
      </c>
      <c r="B149" s="112" t="s">
        <v>441</v>
      </c>
      <c r="C149" s="111" t="s">
        <v>156</v>
      </c>
      <c r="D149" s="111">
        <v>1</v>
      </c>
      <c r="E149" s="432">
        <f t="shared" si="87"/>
        <v>1359.5949999999998</v>
      </c>
      <c r="F149" s="435">
        <f t="shared" si="88"/>
        <v>1359.5949999999998</v>
      </c>
      <c r="G149" s="433">
        <f t="shared" si="94"/>
        <v>1087.6759999999999</v>
      </c>
      <c r="H149" s="434">
        <v>60</v>
      </c>
      <c r="I149" s="116">
        <f t="shared" si="89"/>
        <v>18.12</v>
      </c>
      <c r="K149" s="188">
        <v>1671.11</v>
      </c>
      <c r="L149" s="385">
        <f t="shared" si="90"/>
        <v>1671.11</v>
      </c>
      <c r="M149" s="188"/>
      <c r="N149" s="385">
        <f t="shared" si="91"/>
        <v>0</v>
      </c>
      <c r="O149" s="188">
        <v>1048.08</v>
      </c>
      <c r="P149" s="385">
        <f t="shared" si="84"/>
        <v>1048.08</v>
      </c>
      <c r="Q149" s="385"/>
      <c r="R149" s="385"/>
      <c r="S149" s="387">
        <f t="shared" si="92"/>
        <v>1359.5949999999998</v>
      </c>
      <c r="T149" s="408">
        <f t="shared" si="85"/>
        <v>1359.5949999999998</v>
      </c>
      <c r="U149" s="387">
        <f t="shared" si="93"/>
        <v>1359.5949999999998</v>
      </c>
      <c r="V149" s="409">
        <f t="shared" si="86"/>
        <v>1359.5949999999998</v>
      </c>
    </row>
    <row r="150" spans="1:22" ht="31.5">
      <c r="A150" s="353">
        <v>16</v>
      </c>
      <c r="B150" s="112" t="s">
        <v>442</v>
      </c>
      <c r="C150" s="111" t="s">
        <v>156</v>
      </c>
      <c r="D150" s="111">
        <v>1</v>
      </c>
      <c r="E150" s="432">
        <f t="shared" si="87"/>
        <v>40.47</v>
      </c>
      <c r="F150" s="435">
        <f t="shared" si="88"/>
        <v>40.47</v>
      </c>
      <c r="G150" s="433">
        <f t="shared" si="94"/>
        <v>32.375999999999998</v>
      </c>
      <c r="H150" s="434">
        <v>60</v>
      </c>
      <c r="I150" s="116">
        <f t="shared" si="89"/>
        <v>0.53</v>
      </c>
      <c r="K150" s="188"/>
      <c r="L150" s="385">
        <f t="shared" si="90"/>
        <v>0</v>
      </c>
      <c r="M150" s="188">
        <v>40.47</v>
      </c>
      <c r="N150" s="385">
        <f t="shared" si="91"/>
        <v>40.47</v>
      </c>
      <c r="O150" s="188"/>
      <c r="P150" s="385">
        <f t="shared" si="84"/>
        <v>0</v>
      </c>
      <c r="Q150" s="385"/>
      <c r="R150" s="385"/>
      <c r="S150" s="387">
        <f t="shared" si="92"/>
        <v>40.47</v>
      </c>
      <c r="T150" s="408">
        <f t="shared" si="85"/>
        <v>40.47</v>
      </c>
      <c r="U150" s="387">
        <f t="shared" si="93"/>
        <v>40.47</v>
      </c>
      <c r="V150" s="409">
        <f t="shared" si="86"/>
        <v>40.47</v>
      </c>
    </row>
    <row r="151" spans="1:22" ht="94.5">
      <c r="A151" s="353">
        <v>17</v>
      </c>
      <c r="B151" s="112" t="s">
        <v>443</v>
      </c>
      <c r="C151" s="111" t="s">
        <v>156</v>
      </c>
      <c r="D151" s="111">
        <v>1</v>
      </c>
      <c r="E151" s="432">
        <f t="shared" si="87"/>
        <v>537.54999999999995</v>
      </c>
      <c r="F151" s="435">
        <f t="shared" si="88"/>
        <v>537.54999999999995</v>
      </c>
      <c r="G151" s="433">
        <f t="shared" si="94"/>
        <v>430.03999999999996</v>
      </c>
      <c r="H151" s="434">
        <v>60</v>
      </c>
      <c r="I151" s="116">
        <f t="shared" si="89"/>
        <v>7.16</v>
      </c>
      <c r="K151" s="188">
        <v>537.54999999999995</v>
      </c>
      <c r="L151" s="385">
        <f t="shared" si="90"/>
        <v>537.54999999999995</v>
      </c>
      <c r="M151" s="188">
        <v>530.29</v>
      </c>
      <c r="N151" s="385">
        <f t="shared" si="91"/>
        <v>530.29</v>
      </c>
      <c r="O151" s="188">
        <v>662.86</v>
      </c>
      <c r="P151" s="385">
        <f t="shared" si="84"/>
        <v>662.86</v>
      </c>
      <c r="Q151" s="385"/>
      <c r="R151" s="385"/>
      <c r="S151" s="387">
        <f t="shared" si="92"/>
        <v>576.9</v>
      </c>
      <c r="T151" s="408">
        <f t="shared" si="85"/>
        <v>576.9</v>
      </c>
      <c r="U151" s="387">
        <f t="shared" si="93"/>
        <v>537.54999999999995</v>
      </c>
      <c r="V151" s="409">
        <f t="shared" si="86"/>
        <v>537.54999999999995</v>
      </c>
    </row>
    <row r="152" spans="1:22" ht="31.5">
      <c r="A152" s="353">
        <v>18</v>
      </c>
      <c r="B152" s="112" t="s">
        <v>444</v>
      </c>
      <c r="C152" s="111" t="s">
        <v>156</v>
      </c>
      <c r="D152" s="111">
        <v>1</v>
      </c>
      <c r="E152" s="432">
        <f t="shared" si="87"/>
        <v>20.93</v>
      </c>
      <c r="F152" s="435">
        <f t="shared" si="88"/>
        <v>20.93</v>
      </c>
      <c r="G152" s="433">
        <f t="shared" si="94"/>
        <v>16.744</v>
      </c>
      <c r="H152" s="434">
        <v>60</v>
      </c>
      <c r="I152" s="116">
        <f t="shared" si="89"/>
        <v>0.27</v>
      </c>
      <c r="K152" s="188">
        <v>21.7</v>
      </c>
      <c r="L152" s="385">
        <f t="shared" si="90"/>
        <v>21.7</v>
      </c>
      <c r="M152" s="188"/>
      <c r="N152" s="385">
        <f t="shared" si="91"/>
        <v>0</v>
      </c>
      <c r="O152" s="188">
        <v>20.16</v>
      </c>
      <c r="P152" s="385">
        <f t="shared" si="84"/>
        <v>20.16</v>
      </c>
      <c r="Q152" s="385"/>
      <c r="R152" s="385"/>
      <c r="S152" s="387">
        <f t="shared" si="92"/>
        <v>20.93</v>
      </c>
      <c r="T152" s="408">
        <f t="shared" si="85"/>
        <v>20.93</v>
      </c>
      <c r="U152" s="387">
        <f t="shared" si="93"/>
        <v>20.93</v>
      </c>
      <c r="V152" s="409">
        <f t="shared" si="86"/>
        <v>20.93</v>
      </c>
    </row>
    <row r="153" spans="1:22">
      <c r="A153" s="353">
        <v>19</v>
      </c>
      <c r="B153" s="112" t="s">
        <v>445</v>
      </c>
      <c r="C153" s="111" t="s">
        <v>156</v>
      </c>
      <c r="D153" s="111">
        <v>2</v>
      </c>
      <c r="E153" s="432">
        <f t="shared" si="87"/>
        <v>6.6850000000000005</v>
      </c>
      <c r="F153" s="435">
        <f t="shared" si="88"/>
        <v>13.370000000000001</v>
      </c>
      <c r="G153" s="433">
        <f>F153*0.8</f>
        <v>10.696000000000002</v>
      </c>
      <c r="H153" s="434">
        <v>60</v>
      </c>
      <c r="I153" s="116">
        <f t="shared" si="89"/>
        <v>0.17</v>
      </c>
      <c r="K153" s="188">
        <v>12.89</v>
      </c>
      <c r="L153" s="385">
        <f t="shared" si="90"/>
        <v>25.78</v>
      </c>
      <c r="M153" s="188">
        <v>0.48</v>
      </c>
      <c r="N153" s="385">
        <f t="shared" si="91"/>
        <v>0.96</v>
      </c>
      <c r="O153" s="188"/>
      <c r="P153" s="385">
        <f t="shared" si="84"/>
        <v>0</v>
      </c>
      <c r="Q153" s="385"/>
      <c r="R153" s="385"/>
      <c r="S153" s="387">
        <f t="shared" si="92"/>
        <v>6.6850000000000005</v>
      </c>
      <c r="T153" s="408">
        <f t="shared" si="85"/>
        <v>13.370000000000001</v>
      </c>
      <c r="U153" s="387">
        <f t="shared" si="93"/>
        <v>6.6850000000000005</v>
      </c>
      <c r="V153" s="409">
        <f t="shared" si="86"/>
        <v>13.370000000000001</v>
      </c>
    </row>
    <row r="154" spans="1:22" ht="15">
      <c r="A154" s="173"/>
      <c r="B154" s="174" t="s">
        <v>547</v>
      </c>
      <c r="C154" s="174"/>
      <c r="D154" s="174"/>
      <c r="E154" s="174"/>
      <c r="F154" s="174"/>
      <c r="G154" s="175"/>
      <c r="H154" s="175"/>
      <c r="I154" s="175"/>
      <c r="K154" s="188"/>
      <c r="L154" s="385">
        <f t="shared" si="90"/>
        <v>0</v>
      </c>
      <c r="M154" s="188"/>
      <c r="N154" s="385">
        <f t="shared" si="91"/>
        <v>0</v>
      </c>
      <c r="O154" s="188"/>
      <c r="P154" s="385">
        <f t="shared" si="84"/>
        <v>0</v>
      </c>
      <c r="Q154" s="385"/>
      <c r="R154" s="385"/>
      <c r="S154" s="387" t="e">
        <f t="shared" si="92"/>
        <v>#DIV/0!</v>
      </c>
      <c r="T154" s="408" t="e">
        <f t="shared" si="85"/>
        <v>#DIV/0!</v>
      </c>
      <c r="U154" s="387" t="e">
        <f t="shared" si="93"/>
        <v>#NUM!</v>
      </c>
      <c r="V154" s="409" t="e">
        <f t="shared" si="86"/>
        <v>#NUM!</v>
      </c>
    </row>
    <row r="155" spans="1:22">
      <c r="A155" s="353">
        <v>20</v>
      </c>
      <c r="B155" s="112" t="s">
        <v>533</v>
      </c>
      <c r="C155" s="111" t="s">
        <v>156</v>
      </c>
      <c r="D155" s="111">
        <v>1</v>
      </c>
      <c r="E155" s="432">
        <f t="shared" si="87"/>
        <v>26.484999999999999</v>
      </c>
      <c r="F155" s="435">
        <f>D155*E155</f>
        <v>26.484999999999999</v>
      </c>
      <c r="G155" s="433">
        <f>F155*0.8</f>
        <v>21.188000000000002</v>
      </c>
      <c r="H155" s="434">
        <v>60</v>
      </c>
      <c r="I155" s="116">
        <f t="shared" si="89"/>
        <v>0.35</v>
      </c>
      <c r="K155" s="188">
        <v>29.17</v>
      </c>
      <c r="L155" s="385">
        <f t="shared" si="90"/>
        <v>29.17</v>
      </c>
      <c r="M155" s="188"/>
      <c r="N155" s="385">
        <f t="shared" si="91"/>
        <v>0</v>
      </c>
      <c r="O155" s="188">
        <v>23.8</v>
      </c>
      <c r="P155" s="385">
        <f t="shared" si="84"/>
        <v>23.8</v>
      </c>
      <c r="Q155" s="385"/>
      <c r="R155" s="385"/>
      <c r="S155" s="387">
        <f t="shared" si="92"/>
        <v>26.484999999999999</v>
      </c>
      <c r="T155" s="408">
        <f t="shared" si="85"/>
        <v>26.484999999999999</v>
      </c>
      <c r="U155" s="387">
        <f t="shared" si="93"/>
        <v>26.484999999999999</v>
      </c>
      <c r="V155" s="409">
        <f t="shared" si="86"/>
        <v>26.484999999999999</v>
      </c>
    </row>
    <row r="156" spans="1:22">
      <c r="A156" s="353">
        <v>21</v>
      </c>
      <c r="B156" s="112" t="s">
        <v>534</v>
      </c>
      <c r="C156" s="111" t="s">
        <v>156</v>
      </c>
      <c r="D156" s="111">
        <v>1</v>
      </c>
      <c r="E156" s="432">
        <f t="shared" si="87"/>
        <v>23.450000000000003</v>
      </c>
      <c r="F156" s="435">
        <f t="shared" ref="F156:F168" si="97">D156*E156</f>
        <v>23.450000000000003</v>
      </c>
      <c r="G156" s="433">
        <f t="shared" ref="G156:G168" si="98">F156*0.8</f>
        <v>18.760000000000002</v>
      </c>
      <c r="H156" s="434">
        <v>60</v>
      </c>
      <c r="I156" s="116">
        <f t="shared" si="89"/>
        <v>0.31</v>
      </c>
      <c r="K156" s="188">
        <v>20.37</v>
      </c>
      <c r="L156" s="385">
        <f t="shared" si="90"/>
        <v>20.37</v>
      </c>
      <c r="M156" s="188"/>
      <c r="N156" s="385">
        <f t="shared" si="91"/>
        <v>0</v>
      </c>
      <c r="O156" s="188">
        <v>26.53</v>
      </c>
      <c r="P156" s="385">
        <f t="shared" si="84"/>
        <v>26.53</v>
      </c>
      <c r="Q156" s="385"/>
      <c r="R156" s="385"/>
      <c r="S156" s="387">
        <f t="shared" si="92"/>
        <v>23.450000000000003</v>
      </c>
      <c r="T156" s="408">
        <f t="shared" si="85"/>
        <v>23.450000000000003</v>
      </c>
      <c r="U156" s="387">
        <f t="shared" si="93"/>
        <v>23.450000000000003</v>
      </c>
      <c r="V156" s="409">
        <f t="shared" si="86"/>
        <v>23.450000000000003</v>
      </c>
    </row>
    <row r="157" spans="1:22">
      <c r="A157" s="353">
        <v>22</v>
      </c>
      <c r="B157" s="112" t="s">
        <v>535</v>
      </c>
      <c r="C157" s="111" t="s">
        <v>156</v>
      </c>
      <c r="D157" s="111">
        <v>1</v>
      </c>
      <c r="E157" s="432">
        <f t="shared" si="87"/>
        <v>41.76</v>
      </c>
      <c r="F157" s="435">
        <f t="shared" si="97"/>
        <v>41.76</v>
      </c>
      <c r="G157" s="433">
        <f t="shared" si="98"/>
        <v>33.408000000000001</v>
      </c>
      <c r="H157" s="434">
        <v>60</v>
      </c>
      <c r="I157" s="116">
        <f t="shared" si="89"/>
        <v>0.55000000000000004</v>
      </c>
      <c r="K157" s="188"/>
      <c r="L157" s="385">
        <f t="shared" si="90"/>
        <v>0</v>
      </c>
      <c r="M157" s="188"/>
      <c r="N157" s="385">
        <f t="shared" si="91"/>
        <v>0</v>
      </c>
      <c r="O157" s="188">
        <v>41.76</v>
      </c>
      <c r="P157" s="385">
        <f t="shared" si="84"/>
        <v>41.76</v>
      </c>
      <c r="Q157" s="385"/>
      <c r="R157" s="385"/>
      <c r="S157" s="387">
        <f t="shared" si="92"/>
        <v>41.76</v>
      </c>
      <c r="T157" s="408">
        <f t="shared" si="85"/>
        <v>41.76</v>
      </c>
      <c r="U157" s="387">
        <f t="shared" si="93"/>
        <v>41.76</v>
      </c>
      <c r="V157" s="409">
        <f t="shared" si="86"/>
        <v>41.76</v>
      </c>
    </row>
    <row r="158" spans="1:22">
      <c r="A158" s="353">
        <v>23</v>
      </c>
      <c r="B158" s="112" t="s">
        <v>536</v>
      </c>
      <c r="C158" s="111" t="s">
        <v>156</v>
      </c>
      <c r="D158" s="111">
        <v>1</v>
      </c>
      <c r="E158" s="432">
        <f t="shared" si="87"/>
        <v>38.225000000000001</v>
      </c>
      <c r="F158" s="435">
        <f t="shared" si="97"/>
        <v>38.225000000000001</v>
      </c>
      <c r="G158" s="433">
        <f t="shared" si="98"/>
        <v>30.580000000000002</v>
      </c>
      <c r="H158" s="434">
        <v>60</v>
      </c>
      <c r="I158" s="116">
        <f t="shared" si="89"/>
        <v>0.5</v>
      </c>
      <c r="K158" s="188">
        <v>29.2</v>
      </c>
      <c r="L158" s="385">
        <f t="shared" si="90"/>
        <v>29.2</v>
      </c>
      <c r="M158" s="188"/>
      <c r="N158" s="385">
        <f t="shared" si="91"/>
        <v>0</v>
      </c>
      <c r="O158" s="188">
        <v>47.25</v>
      </c>
      <c r="P158" s="385">
        <f t="shared" si="84"/>
        <v>47.25</v>
      </c>
      <c r="Q158" s="385"/>
      <c r="R158" s="385"/>
      <c r="S158" s="387">
        <f t="shared" si="92"/>
        <v>38.225000000000001</v>
      </c>
      <c r="T158" s="408">
        <f t="shared" si="85"/>
        <v>38.225000000000001</v>
      </c>
      <c r="U158" s="387">
        <f t="shared" si="93"/>
        <v>38.225000000000001</v>
      </c>
      <c r="V158" s="409">
        <f t="shared" si="86"/>
        <v>38.225000000000001</v>
      </c>
    </row>
    <row r="159" spans="1:22">
      <c r="A159" s="353">
        <v>24</v>
      </c>
      <c r="B159" s="112" t="s">
        <v>537</v>
      </c>
      <c r="C159" s="111" t="s">
        <v>156</v>
      </c>
      <c r="D159" s="111">
        <v>1</v>
      </c>
      <c r="E159" s="432">
        <f t="shared" si="87"/>
        <v>15.875</v>
      </c>
      <c r="F159" s="435">
        <f t="shared" si="97"/>
        <v>15.875</v>
      </c>
      <c r="G159" s="433">
        <f t="shared" si="98"/>
        <v>12.700000000000001</v>
      </c>
      <c r="H159" s="434">
        <v>60</v>
      </c>
      <c r="I159" s="116">
        <f t="shared" si="89"/>
        <v>0.21</v>
      </c>
      <c r="K159" s="188">
        <v>9.9700000000000006</v>
      </c>
      <c r="L159" s="385">
        <f t="shared" si="90"/>
        <v>9.9700000000000006</v>
      </c>
      <c r="M159" s="188"/>
      <c r="N159" s="385">
        <f t="shared" si="91"/>
        <v>0</v>
      </c>
      <c r="O159" s="188">
        <v>21.78</v>
      </c>
      <c r="P159" s="385">
        <f t="shared" si="84"/>
        <v>21.78</v>
      </c>
      <c r="Q159" s="385"/>
      <c r="R159" s="385"/>
      <c r="S159" s="387">
        <f t="shared" si="92"/>
        <v>15.875</v>
      </c>
      <c r="T159" s="408">
        <f t="shared" si="85"/>
        <v>15.875</v>
      </c>
      <c r="U159" s="387">
        <f t="shared" si="93"/>
        <v>15.875</v>
      </c>
      <c r="V159" s="409">
        <f t="shared" si="86"/>
        <v>15.875</v>
      </c>
    </row>
    <row r="160" spans="1:22">
      <c r="A160" s="353">
        <v>25</v>
      </c>
      <c r="B160" s="112" t="s">
        <v>538</v>
      </c>
      <c r="C160" s="111" t="s">
        <v>156</v>
      </c>
      <c r="D160" s="111">
        <v>1</v>
      </c>
      <c r="E160" s="432">
        <f t="shared" si="87"/>
        <v>30.795000000000002</v>
      </c>
      <c r="F160" s="435">
        <f t="shared" si="97"/>
        <v>30.795000000000002</v>
      </c>
      <c r="G160" s="433">
        <f t="shared" si="98"/>
        <v>24.636000000000003</v>
      </c>
      <c r="H160" s="434">
        <v>60</v>
      </c>
      <c r="I160" s="116">
        <f t="shared" si="89"/>
        <v>0.41</v>
      </c>
      <c r="K160" s="188">
        <v>46.4</v>
      </c>
      <c r="L160" s="385">
        <f t="shared" si="90"/>
        <v>46.4</v>
      </c>
      <c r="M160" s="188"/>
      <c r="N160" s="385">
        <f t="shared" si="91"/>
        <v>0</v>
      </c>
      <c r="O160" s="188">
        <v>15.19</v>
      </c>
      <c r="P160" s="385">
        <f t="shared" si="84"/>
        <v>15.19</v>
      </c>
      <c r="Q160" s="385"/>
      <c r="R160" s="385"/>
      <c r="S160" s="387">
        <f t="shared" si="92"/>
        <v>30.794999999999998</v>
      </c>
      <c r="T160" s="408">
        <f t="shared" si="85"/>
        <v>30.794999999999998</v>
      </c>
      <c r="U160" s="387">
        <f t="shared" si="93"/>
        <v>30.795000000000002</v>
      </c>
      <c r="V160" s="409">
        <f t="shared" si="86"/>
        <v>30.795000000000002</v>
      </c>
    </row>
    <row r="161" spans="1:22">
      <c r="A161" s="353">
        <v>26</v>
      </c>
      <c r="B161" s="112" t="s">
        <v>539</v>
      </c>
      <c r="C161" s="111" t="s">
        <v>156</v>
      </c>
      <c r="D161" s="111">
        <v>1</v>
      </c>
      <c r="E161" s="432">
        <f t="shared" si="87"/>
        <v>12.43</v>
      </c>
      <c r="F161" s="435">
        <f t="shared" si="97"/>
        <v>12.43</v>
      </c>
      <c r="G161" s="433">
        <f t="shared" si="98"/>
        <v>9.9440000000000008</v>
      </c>
      <c r="H161" s="434">
        <v>60</v>
      </c>
      <c r="I161" s="116">
        <f t="shared" si="89"/>
        <v>0.16</v>
      </c>
      <c r="K161" s="188"/>
      <c r="L161" s="385">
        <f t="shared" si="90"/>
        <v>0</v>
      </c>
      <c r="M161" s="188"/>
      <c r="N161" s="385">
        <f t="shared" si="91"/>
        <v>0</v>
      </c>
      <c r="O161" s="188">
        <v>12.43</v>
      </c>
      <c r="P161" s="385">
        <f t="shared" si="84"/>
        <v>12.43</v>
      </c>
      <c r="Q161" s="385"/>
      <c r="R161" s="385"/>
      <c r="S161" s="387">
        <f t="shared" si="92"/>
        <v>12.43</v>
      </c>
      <c r="T161" s="408">
        <f t="shared" si="85"/>
        <v>12.43</v>
      </c>
      <c r="U161" s="387">
        <f t="shared" si="93"/>
        <v>12.43</v>
      </c>
      <c r="V161" s="409">
        <f t="shared" si="86"/>
        <v>12.43</v>
      </c>
    </row>
    <row r="162" spans="1:22" ht="31.5">
      <c r="A162" s="353">
        <v>27</v>
      </c>
      <c r="B162" s="112" t="s">
        <v>540</v>
      </c>
      <c r="C162" s="111" t="s">
        <v>156</v>
      </c>
      <c r="D162" s="111">
        <v>1</v>
      </c>
      <c r="E162" s="432">
        <f t="shared" si="87"/>
        <v>30.92</v>
      </c>
      <c r="F162" s="435">
        <f t="shared" si="97"/>
        <v>30.92</v>
      </c>
      <c r="G162" s="433">
        <f t="shared" si="98"/>
        <v>24.736000000000004</v>
      </c>
      <c r="H162" s="434">
        <v>60</v>
      </c>
      <c r="I162" s="116">
        <f t="shared" si="89"/>
        <v>0.41</v>
      </c>
      <c r="K162" s="188">
        <v>34.49</v>
      </c>
      <c r="L162" s="385">
        <f t="shared" si="90"/>
        <v>34.49</v>
      </c>
      <c r="M162" s="188"/>
      <c r="N162" s="385">
        <f t="shared" si="91"/>
        <v>0</v>
      </c>
      <c r="O162" s="188">
        <v>27.35</v>
      </c>
      <c r="P162" s="385">
        <f t="shared" si="84"/>
        <v>27.35</v>
      </c>
      <c r="Q162" s="385"/>
      <c r="R162" s="385"/>
      <c r="S162" s="387">
        <f t="shared" si="92"/>
        <v>30.92</v>
      </c>
      <c r="T162" s="408">
        <f t="shared" si="85"/>
        <v>30.92</v>
      </c>
      <c r="U162" s="387">
        <f t="shared" si="93"/>
        <v>30.92</v>
      </c>
      <c r="V162" s="409">
        <f t="shared" si="86"/>
        <v>30.92</v>
      </c>
    </row>
    <row r="163" spans="1:22">
      <c r="A163" s="353">
        <v>28</v>
      </c>
      <c r="B163" s="112" t="s">
        <v>541</v>
      </c>
      <c r="C163" s="111" t="s">
        <v>156</v>
      </c>
      <c r="D163" s="111">
        <v>1</v>
      </c>
      <c r="E163" s="432">
        <f t="shared" si="87"/>
        <v>29.2</v>
      </c>
      <c r="F163" s="435">
        <f t="shared" si="97"/>
        <v>29.2</v>
      </c>
      <c r="G163" s="433">
        <f t="shared" si="98"/>
        <v>23.36</v>
      </c>
      <c r="H163" s="434">
        <v>60</v>
      </c>
      <c r="I163" s="116">
        <f t="shared" si="89"/>
        <v>0.38</v>
      </c>
      <c r="K163" s="188">
        <v>29.2</v>
      </c>
      <c r="L163" s="385">
        <f t="shared" si="90"/>
        <v>29.2</v>
      </c>
      <c r="M163" s="188"/>
      <c r="N163" s="385">
        <f t="shared" si="91"/>
        <v>0</v>
      </c>
      <c r="O163" s="188"/>
      <c r="P163" s="385">
        <f t="shared" si="84"/>
        <v>0</v>
      </c>
      <c r="Q163" s="385"/>
      <c r="R163" s="385"/>
      <c r="S163" s="387">
        <f t="shared" si="92"/>
        <v>29.2</v>
      </c>
      <c r="T163" s="408">
        <f t="shared" si="85"/>
        <v>29.2</v>
      </c>
      <c r="U163" s="387">
        <f t="shared" si="93"/>
        <v>29.2</v>
      </c>
      <c r="V163" s="409">
        <f t="shared" si="86"/>
        <v>29.2</v>
      </c>
    </row>
    <row r="164" spans="1:22" ht="31.5">
      <c r="A164" s="353">
        <v>29</v>
      </c>
      <c r="B164" s="112" t="s">
        <v>542</v>
      </c>
      <c r="C164" s="111" t="s">
        <v>156</v>
      </c>
      <c r="D164" s="111">
        <v>1</v>
      </c>
      <c r="E164" s="432">
        <f t="shared" si="87"/>
        <v>62.61</v>
      </c>
      <c r="F164" s="435">
        <f t="shared" si="97"/>
        <v>62.61</v>
      </c>
      <c r="G164" s="433">
        <f t="shared" si="98"/>
        <v>50.088000000000001</v>
      </c>
      <c r="H164" s="434">
        <v>60</v>
      </c>
      <c r="I164" s="116">
        <f t="shared" si="89"/>
        <v>0.83</v>
      </c>
      <c r="K164" s="188">
        <v>53.35</v>
      </c>
      <c r="L164" s="385">
        <f t="shared" si="90"/>
        <v>53.35</v>
      </c>
      <c r="M164" s="188"/>
      <c r="N164" s="385">
        <f t="shared" si="91"/>
        <v>0</v>
      </c>
      <c r="O164" s="188">
        <v>71.87</v>
      </c>
      <c r="P164" s="385">
        <f t="shared" si="84"/>
        <v>71.87</v>
      </c>
      <c r="Q164" s="385"/>
      <c r="R164" s="385"/>
      <c r="S164" s="387">
        <f t="shared" si="92"/>
        <v>62.61</v>
      </c>
      <c r="T164" s="408">
        <f t="shared" si="85"/>
        <v>62.61</v>
      </c>
      <c r="U164" s="387">
        <f t="shared" si="93"/>
        <v>62.61</v>
      </c>
      <c r="V164" s="409">
        <f t="shared" si="86"/>
        <v>62.61</v>
      </c>
    </row>
    <row r="165" spans="1:22" ht="31.5">
      <c r="A165" s="353">
        <v>30</v>
      </c>
      <c r="B165" s="112" t="s">
        <v>543</v>
      </c>
      <c r="C165" s="111" t="s">
        <v>156</v>
      </c>
      <c r="D165" s="111">
        <v>1</v>
      </c>
      <c r="E165" s="432">
        <f t="shared" si="87"/>
        <v>146.33000000000001</v>
      </c>
      <c r="F165" s="435">
        <f t="shared" si="97"/>
        <v>146.33000000000001</v>
      </c>
      <c r="G165" s="433">
        <f t="shared" si="98"/>
        <v>117.06400000000002</v>
      </c>
      <c r="H165" s="434">
        <v>60</v>
      </c>
      <c r="I165" s="116">
        <f t="shared" si="89"/>
        <v>1.95</v>
      </c>
      <c r="K165" s="188">
        <v>151.61000000000001</v>
      </c>
      <c r="L165" s="385">
        <f t="shared" si="90"/>
        <v>151.61000000000001</v>
      </c>
      <c r="M165" s="188"/>
      <c r="N165" s="385">
        <f t="shared" si="91"/>
        <v>0</v>
      </c>
      <c r="O165" s="188">
        <v>141.05000000000001</v>
      </c>
      <c r="P165" s="385">
        <f t="shared" si="84"/>
        <v>141.05000000000001</v>
      </c>
      <c r="Q165" s="385"/>
      <c r="R165" s="385"/>
      <c r="S165" s="387">
        <f t="shared" si="92"/>
        <v>146.33000000000001</v>
      </c>
      <c r="T165" s="408">
        <f t="shared" si="85"/>
        <v>146.33000000000001</v>
      </c>
      <c r="U165" s="387">
        <f t="shared" si="93"/>
        <v>146.33000000000001</v>
      </c>
      <c r="V165" s="409">
        <f t="shared" si="86"/>
        <v>146.33000000000001</v>
      </c>
    </row>
    <row r="166" spans="1:22" ht="31.5">
      <c r="A166" s="353">
        <v>31</v>
      </c>
      <c r="B166" s="112" t="s">
        <v>544</v>
      </c>
      <c r="C166" s="111" t="s">
        <v>156</v>
      </c>
      <c r="D166" s="111">
        <v>1</v>
      </c>
      <c r="E166" s="432">
        <f t="shared" si="87"/>
        <v>46.664999999999999</v>
      </c>
      <c r="F166" s="435">
        <f t="shared" si="97"/>
        <v>46.664999999999999</v>
      </c>
      <c r="G166" s="433">
        <f t="shared" si="98"/>
        <v>37.332000000000001</v>
      </c>
      <c r="H166" s="434">
        <v>60</v>
      </c>
      <c r="I166" s="116">
        <f t="shared" si="89"/>
        <v>0.62</v>
      </c>
      <c r="K166" s="188">
        <v>56.53</v>
      </c>
      <c r="L166" s="385">
        <f t="shared" si="90"/>
        <v>56.53</v>
      </c>
      <c r="M166" s="188"/>
      <c r="N166" s="385">
        <f t="shared" si="91"/>
        <v>0</v>
      </c>
      <c r="O166" s="188">
        <v>36.799999999999997</v>
      </c>
      <c r="P166" s="385">
        <f t="shared" si="84"/>
        <v>36.799999999999997</v>
      </c>
      <c r="Q166" s="385"/>
      <c r="R166" s="385"/>
      <c r="S166" s="387">
        <f t="shared" si="92"/>
        <v>46.664999999999999</v>
      </c>
      <c r="T166" s="408">
        <f t="shared" si="85"/>
        <v>46.664999999999999</v>
      </c>
      <c r="U166" s="387">
        <f t="shared" si="93"/>
        <v>46.664999999999999</v>
      </c>
      <c r="V166" s="409">
        <f t="shared" si="86"/>
        <v>46.664999999999999</v>
      </c>
    </row>
    <row r="167" spans="1:22">
      <c r="A167" s="353">
        <v>32</v>
      </c>
      <c r="B167" s="112" t="s">
        <v>545</v>
      </c>
      <c r="C167" s="111" t="s">
        <v>156</v>
      </c>
      <c r="D167" s="111">
        <v>1</v>
      </c>
      <c r="E167" s="432">
        <f t="shared" si="87"/>
        <v>59.44</v>
      </c>
      <c r="F167" s="435">
        <f t="shared" si="97"/>
        <v>59.44</v>
      </c>
      <c r="G167" s="433">
        <f t="shared" si="98"/>
        <v>47.552</v>
      </c>
      <c r="H167" s="434">
        <v>60</v>
      </c>
      <c r="I167" s="116">
        <f t="shared" si="89"/>
        <v>0.79</v>
      </c>
      <c r="K167" s="188">
        <v>40.89</v>
      </c>
      <c r="L167" s="385">
        <f t="shared" si="90"/>
        <v>40.89</v>
      </c>
      <c r="M167" s="188"/>
      <c r="N167" s="385">
        <f t="shared" si="91"/>
        <v>0</v>
      </c>
      <c r="O167" s="188">
        <v>77.989999999999995</v>
      </c>
      <c r="P167" s="385">
        <f t="shared" si="84"/>
        <v>77.989999999999995</v>
      </c>
      <c r="Q167" s="385"/>
      <c r="R167" s="385"/>
      <c r="S167" s="387">
        <f t="shared" si="92"/>
        <v>59.44</v>
      </c>
      <c r="T167" s="408">
        <f t="shared" si="85"/>
        <v>59.44</v>
      </c>
      <c r="U167" s="387">
        <f t="shared" si="93"/>
        <v>59.44</v>
      </c>
      <c r="V167" s="409">
        <f t="shared" si="86"/>
        <v>59.44</v>
      </c>
    </row>
    <row r="168" spans="1:22">
      <c r="A168" s="353">
        <v>33</v>
      </c>
      <c r="B168" s="112" t="s">
        <v>546</v>
      </c>
      <c r="C168" s="111" t="s">
        <v>156</v>
      </c>
      <c r="D168" s="111">
        <v>1</v>
      </c>
      <c r="E168" s="432">
        <f t="shared" si="87"/>
        <v>36.695</v>
      </c>
      <c r="F168" s="435">
        <f t="shared" si="97"/>
        <v>36.695</v>
      </c>
      <c r="G168" s="433">
        <f t="shared" si="98"/>
        <v>29.356000000000002</v>
      </c>
      <c r="H168" s="434">
        <v>60</v>
      </c>
      <c r="I168" s="116">
        <f t="shared" si="89"/>
        <v>0.48</v>
      </c>
      <c r="K168" s="188">
        <v>42.13</v>
      </c>
      <c r="L168" s="385">
        <f t="shared" si="90"/>
        <v>42.13</v>
      </c>
      <c r="M168" s="188"/>
      <c r="N168" s="385">
        <f t="shared" si="91"/>
        <v>0</v>
      </c>
      <c r="O168" s="188">
        <v>31.26</v>
      </c>
      <c r="P168" s="385">
        <f t="shared" si="84"/>
        <v>31.26</v>
      </c>
      <c r="Q168" s="385"/>
      <c r="R168" s="385"/>
      <c r="S168" s="387">
        <f t="shared" si="92"/>
        <v>36.695</v>
      </c>
      <c r="T168" s="408">
        <f t="shared" si="85"/>
        <v>36.695</v>
      </c>
      <c r="U168" s="387">
        <f t="shared" si="93"/>
        <v>36.695</v>
      </c>
      <c r="V168" s="409">
        <f t="shared" si="86"/>
        <v>36.695</v>
      </c>
    </row>
    <row r="169" spans="1:22">
      <c r="A169" s="646" t="s">
        <v>181</v>
      </c>
      <c r="B169" s="647"/>
      <c r="C169" s="647"/>
      <c r="D169" s="647"/>
      <c r="E169" s="659"/>
      <c r="F169" s="118"/>
      <c r="G169" s="646"/>
      <c r="H169" s="659"/>
      <c r="I169" s="118">
        <f>ROUND(SUM(I135:I168),2)</f>
        <v>161.74</v>
      </c>
      <c r="K169" s="188"/>
      <c r="L169" s="188"/>
      <c r="M169" s="188"/>
      <c r="N169" s="188"/>
      <c r="O169" s="188"/>
      <c r="P169" s="188"/>
      <c r="Q169" s="188"/>
      <c r="R169" s="188"/>
      <c r="S169" s="188"/>
      <c r="T169" s="188"/>
      <c r="U169" s="188"/>
    </row>
    <row r="170" spans="1:22">
      <c r="A170" s="661" t="s">
        <v>176</v>
      </c>
      <c r="B170" s="662"/>
      <c r="C170" s="662"/>
      <c r="D170" s="662"/>
      <c r="E170" s="662"/>
      <c r="F170" s="662"/>
      <c r="G170" s="662"/>
      <c r="H170" s="176">
        <v>4</v>
      </c>
      <c r="I170" s="177">
        <f>TRUNC(I169/H170,2)</f>
        <v>40.43</v>
      </c>
    </row>
    <row r="174" spans="1:22" ht="16.5" thickBot="1"/>
    <row r="175" spans="1:22" ht="27.75" customHeight="1" thickBot="1">
      <c r="A175" s="665" t="s">
        <v>370</v>
      </c>
      <c r="B175" s="666"/>
      <c r="C175" s="666"/>
      <c r="D175" s="666"/>
      <c r="E175" s="666"/>
      <c r="F175" s="666"/>
      <c r="G175" s="666"/>
      <c r="H175" s="666"/>
      <c r="I175" s="666"/>
      <c r="J175" s="667"/>
    </row>
    <row r="176" spans="1:22">
      <c r="A176" s="658"/>
      <c r="B176" s="658"/>
      <c r="C176" s="658"/>
      <c r="D176" s="658"/>
      <c r="E176" s="658"/>
      <c r="G176"/>
      <c r="H176"/>
    </row>
    <row r="178" spans="1:22" ht="18.75" customHeight="1">
      <c r="A178" s="649" t="s">
        <v>530</v>
      </c>
      <c r="B178" s="650"/>
      <c r="C178" s="650"/>
      <c r="D178" s="650"/>
      <c r="E178" s="650"/>
      <c r="F178" s="651"/>
      <c r="G178" s="440"/>
      <c r="H178" s="440"/>
      <c r="I178" s="440"/>
      <c r="K178" s="655" t="s">
        <v>599</v>
      </c>
      <c r="L178" s="656"/>
      <c r="M178" s="656"/>
      <c r="N178" s="656"/>
      <c r="O178" s="656"/>
      <c r="P178" s="657"/>
      <c r="Q178" s="392"/>
      <c r="R178" s="392"/>
      <c r="S178" s="652" t="s">
        <v>596</v>
      </c>
      <c r="T178" s="653"/>
      <c r="U178" s="653"/>
      <c r="V178" s="654"/>
    </row>
    <row r="179" spans="1:22" ht="47.25">
      <c r="A179" s="355" t="s">
        <v>171</v>
      </c>
      <c r="B179" s="356" t="s">
        <v>173</v>
      </c>
      <c r="C179" s="356" t="s">
        <v>177</v>
      </c>
      <c r="D179" s="356" t="s">
        <v>172</v>
      </c>
      <c r="E179" s="438" t="s">
        <v>174</v>
      </c>
      <c r="F179" s="356" t="s">
        <v>175</v>
      </c>
      <c r="G179" s="441"/>
      <c r="H179" s="441"/>
      <c r="I179" s="441"/>
      <c r="K179" s="169" t="s">
        <v>607</v>
      </c>
      <c r="L179" s="169" t="s">
        <v>483</v>
      </c>
      <c r="M179" s="169" t="s">
        <v>626</v>
      </c>
      <c r="N179" s="169" t="s">
        <v>483</v>
      </c>
      <c r="O179" s="169"/>
      <c r="P179" s="169" t="s">
        <v>483</v>
      </c>
      <c r="Q179" s="169"/>
      <c r="R179" s="169"/>
      <c r="S179" s="169" t="s">
        <v>603</v>
      </c>
      <c r="T179" s="169" t="s">
        <v>604</v>
      </c>
      <c r="U179" s="169" t="s">
        <v>605</v>
      </c>
      <c r="V179" s="169" t="s">
        <v>606</v>
      </c>
    </row>
    <row r="180" spans="1:22">
      <c r="A180" s="295"/>
      <c r="B180" s="98" t="s">
        <v>531</v>
      </c>
      <c r="C180" s="446" t="s">
        <v>364</v>
      </c>
      <c r="D180" s="446">
        <v>1</v>
      </c>
      <c r="E180" s="450">
        <f>U180</f>
        <v>14.414999999999999</v>
      </c>
      <c r="F180" s="324">
        <f>D180*E180</f>
        <v>14.414999999999999</v>
      </c>
      <c r="K180">
        <v>15.78</v>
      </c>
      <c r="M180">
        <v>13.05</v>
      </c>
      <c r="S180">
        <f>AVERAGE(K180,M180)</f>
        <v>14.414999999999999</v>
      </c>
      <c r="U180">
        <f>MEDIAN(K180,M180)</f>
        <v>14.414999999999999</v>
      </c>
    </row>
    <row r="181" spans="1:22">
      <c r="A181" s="295"/>
      <c r="B181" s="295"/>
      <c r="C181" s="446"/>
      <c r="D181" s="446"/>
      <c r="E181" s="449"/>
      <c r="F181" s="191"/>
    </row>
    <row r="182" spans="1:22">
      <c r="A182" s="295"/>
      <c r="B182" s="295"/>
      <c r="C182" s="295"/>
      <c r="D182" s="295"/>
      <c r="E182" s="439"/>
      <c r="F182" s="188"/>
    </row>
    <row r="183" spans="1:22">
      <c r="A183" s="646" t="s">
        <v>181</v>
      </c>
      <c r="B183" s="647"/>
      <c r="C183" s="647"/>
      <c r="D183" s="647"/>
      <c r="E183" s="647"/>
      <c r="F183" s="127">
        <f>SUM(F180:F182)</f>
        <v>14.414999999999999</v>
      </c>
      <c r="G183" s="648"/>
      <c r="H183" s="648"/>
      <c r="I183" s="442"/>
    </row>
    <row r="184" spans="1:22">
      <c r="A184" s="436" t="s">
        <v>176</v>
      </c>
      <c r="B184" s="437"/>
      <c r="C184" s="437"/>
      <c r="D184" s="437"/>
      <c r="E184" s="437"/>
      <c r="F184" s="445">
        <f>F183</f>
        <v>14.414999999999999</v>
      </c>
      <c r="G184" s="443"/>
      <c r="H184" s="444"/>
      <c r="I184" s="442"/>
    </row>
    <row r="187" spans="1:22" ht="18.75" customHeight="1">
      <c r="A187" s="649" t="s">
        <v>550</v>
      </c>
      <c r="B187" s="650"/>
      <c r="C187" s="650"/>
      <c r="D187" s="650"/>
      <c r="E187" s="650"/>
      <c r="F187" s="651"/>
      <c r="G187" s="440"/>
      <c r="H187" s="440"/>
      <c r="I187" s="440"/>
      <c r="K187" s="655" t="s">
        <v>599</v>
      </c>
      <c r="L187" s="656"/>
      <c r="M187" s="656"/>
      <c r="N187" s="656"/>
      <c r="O187" s="656"/>
      <c r="P187" s="657"/>
      <c r="Q187" s="392"/>
      <c r="R187" s="392"/>
      <c r="S187" s="652" t="s">
        <v>596</v>
      </c>
      <c r="T187" s="653"/>
      <c r="U187" s="653"/>
      <c r="V187" s="654"/>
    </row>
    <row r="188" spans="1:22" ht="47.25">
      <c r="A188" s="355" t="s">
        <v>171</v>
      </c>
      <c r="B188" s="356" t="s">
        <v>173</v>
      </c>
      <c r="C188" s="356" t="s">
        <v>177</v>
      </c>
      <c r="D188" s="356" t="s">
        <v>172</v>
      </c>
      <c r="E188" s="438" t="s">
        <v>174</v>
      </c>
      <c r="F188" s="356" t="s">
        <v>175</v>
      </c>
      <c r="G188" s="441"/>
      <c r="H188" s="441"/>
      <c r="I188" s="441"/>
      <c r="K188" s="169" t="s">
        <v>620</v>
      </c>
      <c r="L188" s="169" t="s">
        <v>483</v>
      </c>
      <c r="M188" s="169" t="s">
        <v>611</v>
      </c>
      <c r="N188" s="169" t="s">
        <v>483</v>
      </c>
      <c r="O188" s="169"/>
      <c r="P188" s="169"/>
      <c r="Q188" s="169"/>
      <c r="R188" s="169"/>
      <c r="S188" s="169" t="s">
        <v>603</v>
      </c>
      <c r="T188" s="169" t="s">
        <v>604</v>
      </c>
      <c r="U188" s="169" t="s">
        <v>605</v>
      </c>
      <c r="V188" s="169" t="s">
        <v>606</v>
      </c>
    </row>
    <row r="189" spans="1:22" ht="31.5">
      <c r="A189" s="295"/>
      <c r="B189" s="357" t="s">
        <v>551</v>
      </c>
      <c r="C189" s="446" t="s">
        <v>656</v>
      </c>
      <c r="D189" s="446">
        <v>24</v>
      </c>
      <c r="E189" s="447">
        <f>U189</f>
        <v>12.260000000000002</v>
      </c>
      <c r="F189" s="448">
        <f>D189*E189</f>
        <v>294.24</v>
      </c>
      <c r="K189" s="401">
        <v>11.8</v>
      </c>
      <c r="L189" s="401">
        <f>K189*D189</f>
        <v>283.20000000000005</v>
      </c>
      <c r="M189" s="401">
        <v>12.72</v>
      </c>
      <c r="N189" s="401">
        <f>M189*D189</f>
        <v>305.28000000000003</v>
      </c>
      <c r="O189" s="401"/>
      <c r="P189" s="401"/>
      <c r="Q189" s="401"/>
      <c r="R189" s="401"/>
      <c r="S189" s="401">
        <f>AVERAGE(K189,M189)</f>
        <v>12.260000000000002</v>
      </c>
      <c r="T189" s="401"/>
      <c r="U189" s="401">
        <f>MEDIAN(K189,M189)</f>
        <v>12.260000000000002</v>
      </c>
      <c r="V189" s="401"/>
    </row>
    <row r="190" spans="1:22">
      <c r="A190" s="295"/>
      <c r="B190" s="295"/>
      <c r="C190" s="295"/>
      <c r="D190" s="295"/>
      <c r="E190" s="439"/>
      <c r="F190" s="188"/>
      <c r="K190" s="401"/>
      <c r="L190" s="401"/>
      <c r="M190" s="401"/>
      <c r="N190" s="401"/>
      <c r="O190" s="401"/>
      <c r="P190" s="401"/>
      <c r="Q190" s="401"/>
      <c r="R190" s="401"/>
      <c r="S190" s="401"/>
      <c r="T190" s="401"/>
      <c r="U190" s="401"/>
      <c r="V190" s="401"/>
    </row>
    <row r="191" spans="1:22">
      <c r="A191" s="295"/>
      <c r="B191" s="295"/>
      <c r="C191" s="295"/>
      <c r="D191" s="295"/>
      <c r="E191" s="439"/>
      <c r="F191" s="188"/>
      <c r="K191" s="401"/>
      <c r="L191" s="401"/>
      <c r="M191" s="401"/>
      <c r="N191" s="401"/>
      <c r="O191" s="401"/>
      <c r="P191" s="401"/>
      <c r="Q191" s="401"/>
      <c r="R191" s="401"/>
      <c r="S191" s="401"/>
      <c r="T191" s="401"/>
      <c r="U191" s="401"/>
      <c r="V191" s="401"/>
    </row>
    <row r="192" spans="1:22">
      <c r="A192" s="646" t="s">
        <v>181</v>
      </c>
      <c r="B192" s="647"/>
      <c r="C192" s="647"/>
      <c r="D192" s="647"/>
      <c r="E192" s="647"/>
      <c r="F192" s="127">
        <f>SUM(F189:F191)</f>
        <v>294.24</v>
      </c>
      <c r="G192" s="648"/>
      <c r="H192" s="648"/>
      <c r="I192" s="442"/>
    </row>
    <row r="193" spans="1:9">
      <c r="A193" s="436" t="s">
        <v>176</v>
      </c>
      <c r="B193" s="437"/>
      <c r="C193" s="437"/>
      <c r="D193" s="437"/>
      <c r="E193" s="437"/>
      <c r="F193" s="445">
        <f>F192/6/12</f>
        <v>4.0866666666666669</v>
      </c>
      <c r="G193" s="443"/>
      <c r="H193" s="444"/>
      <c r="I193" s="442"/>
    </row>
  </sheetData>
  <mergeCells count="84">
    <mergeCell ref="A21:D21"/>
    <mergeCell ref="A1:E1"/>
    <mergeCell ref="G1:P1"/>
    <mergeCell ref="A3:E3"/>
    <mergeCell ref="G3:L3"/>
    <mergeCell ref="M3:P3"/>
    <mergeCell ref="A11:D11"/>
    <mergeCell ref="A12:D12"/>
    <mergeCell ref="A14:E14"/>
    <mergeCell ref="G14:L14"/>
    <mergeCell ref="M14:P14"/>
    <mergeCell ref="A20:D20"/>
    <mergeCell ref="M41:P41"/>
    <mergeCell ref="A23:E23"/>
    <mergeCell ref="G23:L23"/>
    <mergeCell ref="M23:P23"/>
    <mergeCell ref="A29:D29"/>
    <mergeCell ref="A30:D30"/>
    <mergeCell ref="A32:E32"/>
    <mergeCell ref="G32:L32"/>
    <mergeCell ref="M32:P32"/>
    <mergeCell ref="A38:D38"/>
    <mergeCell ref="A39:D39"/>
    <mergeCell ref="A41:E41"/>
    <mergeCell ref="G41:J41"/>
    <mergeCell ref="K41:L41"/>
    <mergeCell ref="S69:V69"/>
    <mergeCell ref="A50:D50"/>
    <mergeCell ref="A51:D51"/>
    <mergeCell ref="A53:E53"/>
    <mergeCell ref="G53:L53"/>
    <mergeCell ref="M53:P53"/>
    <mergeCell ref="A63:D63"/>
    <mergeCell ref="A64:D64"/>
    <mergeCell ref="A67:I67"/>
    <mergeCell ref="A68:E68"/>
    <mergeCell ref="A69:I69"/>
    <mergeCell ref="K69:P69"/>
    <mergeCell ref="S105:V105"/>
    <mergeCell ref="A86:E86"/>
    <mergeCell ref="G86:H86"/>
    <mergeCell ref="A87:G87"/>
    <mergeCell ref="A89:I89"/>
    <mergeCell ref="K89:P89"/>
    <mergeCell ref="S89:V89"/>
    <mergeCell ref="A102:E102"/>
    <mergeCell ref="G102:H102"/>
    <mergeCell ref="A103:G103"/>
    <mergeCell ref="A105:I105"/>
    <mergeCell ref="K105:P105"/>
    <mergeCell ref="S120:V120"/>
    <mergeCell ref="A129:E129"/>
    <mergeCell ref="G129:H129"/>
    <mergeCell ref="A108:E108"/>
    <mergeCell ref="G108:H108"/>
    <mergeCell ref="A109:G109"/>
    <mergeCell ref="A111:I111"/>
    <mergeCell ref="A116:E116"/>
    <mergeCell ref="G116:H116"/>
    <mergeCell ref="A117:G117"/>
    <mergeCell ref="A120:I120"/>
    <mergeCell ref="K120:P120"/>
    <mergeCell ref="K111:P111"/>
    <mergeCell ref="S111:V111"/>
    <mergeCell ref="A130:G130"/>
    <mergeCell ref="A132:I132"/>
    <mergeCell ref="S133:V133"/>
    <mergeCell ref="A170:G170"/>
    <mergeCell ref="A175:J175"/>
    <mergeCell ref="O133:P133"/>
    <mergeCell ref="A176:E176"/>
    <mergeCell ref="A169:E169"/>
    <mergeCell ref="G169:H169"/>
    <mergeCell ref="K133:N133"/>
    <mergeCell ref="K178:P178"/>
    <mergeCell ref="A178:F178"/>
    <mergeCell ref="A192:E192"/>
    <mergeCell ref="G192:H192"/>
    <mergeCell ref="A187:F187"/>
    <mergeCell ref="S178:V178"/>
    <mergeCell ref="A183:E183"/>
    <mergeCell ref="G183:H183"/>
    <mergeCell ref="K187:P187"/>
    <mergeCell ref="S187:V187"/>
  </mergeCells>
  <pageMargins left="0" right="0" top="0" bottom="0" header="0" footer="0"/>
  <pageSetup paperSize="8" scale="33" fitToHeight="0" orientation="portrait" r:id="rId1"/>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84ACA"/>
    <pageSetUpPr fitToPage="1"/>
  </sheetPr>
  <dimension ref="A2:M71"/>
  <sheetViews>
    <sheetView topLeftCell="A49" zoomScale="115" zoomScaleNormal="115" zoomScaleSheetLayoutView="100" workbookViewId="0">
      <selection activeCell="A68" sqref="A68:C68"/>
    </sheetView>
  </sheetViews>
  <sheetFormatPr defaultRowHeight="15"/>
  <cols>
    <col min="1" max="1" width="5.7109375" style="27" customWidth="1"/>
    <col min="2" max="2" width="89.5703125" style="255" customWidth="1"/>
    <col min="3" max="3" width="15.7109375" style="27" customWidth="1"/>
    <col min="4" max="5" width="9.7109375" style="2" customWidth="1"/>
    <col min="6" max="6" width="15.7109375" style="2" customWidth="1"/>
    <col min="7" max="7" width="15.7109375" style="27" customWidth="1"/>
    <col min="8" max="8" width="18.85546875" style="27" bestFit="1" customWidth="1"/>
    <col min="9" max="9" width="4" customWidth="1"/>
  </cols>
  <sheetData>
    <row r="2" spans="1:13" ht="23.25">
      <c r="A2" s="717" t="s">
        <v>185</v>
      </c>
      <c r="B2" s="717"/>
      <c r="C2" s="717"/>
      <c r="D2" s="717"/>
      <c r="E2" s="717"/>
      <c r="F2" s="717"/>
      <c r="G2" s="717"/>
      <c r="H2" s="717"/>
    </row>
    <row r="3" spans="1:13" ht="15" customHeight="1">
      <c r="A3" s="718" t="s">
        <v>148</v>
      </c>
      <c r="B3" s="720" t="s">
        <v>168</v>
      </c>
      <c r="C3" s="718" t="s">
        <v>156</v>
      </c>
      <c r="D3" s="722" t="s">
        <v>275</v>
      </c>
      <c r="E3" s="722" t="s">
        <v>344</v>
      </c>
      <c r="F3" s="724" t="s">
        <v>174</v>
      </c>
      <c r="G3" s="150" t="s">
        <v>184</v>
      </c>
      <c r="H3" s="725" t="s">
        <v>169</v>
      </c>
      <c r="J3" s="707" t="s">
        <v>596</v>
      </c>
      <c r="K3" s="707"/>
      <c r="L3" s="707"/>
      <c r="M3" s="707"/>
    </row>
    <row r="4" spans="1:13" ht="45">
      <c r="A4" s="719"/>
      <c r="B4" s="721"/>
      <c r="C4" s="719"/>
      <c r="D4" s="723"/>
      <c r="E4" s="723"/>
      <c r="F4" s="724"/>
      <c r="G4" s="167">
        <f>D69</f>
        <v>0.28270000000000001</v>
      </c>
      <c r="H4" s="725"/>
      <c r="J4" s="376" t="s">
        <v>597</v>
      </c>
      <c r="K4" s="375"/>
      <c r="L4" s="375"/>
      <c r="M4" s="188"/>
    </row>
    <row r="5" spans="1:13" ht="57" customHeight="1">
      <c r="A5" s="358">
        <v>1</v>
      </c>
      <c r="B5" s="379" t="s">
        <v>232</v>
      </c>
      <c r="C5" s="199" t="s">
        <v>189</v>
      </c>
      <c r="D5" s="359">
        <v>40</v>
      </c>
      <c r="E5" s="359">
        <f>TRUNC(D5*12,2)</f>
        <v>480</v>
      </c>
      <c r="F5" s="377">
        <f>J5</f>
        <v>1.9</v>
      </c>
      <c r="G5" s="202">
        <f t="shared" ref="G5:G34" si="0">ROUND(($G$4*F5)+F5,2)</f>
        <v>2.44</v>
      </c>
      <c r="H5" s="203">
        <f>TRUNC(E5*G5,2)</f>
        <v>1171.2</v>
      </c>
      <c r="J5" s="324">
        <v>1.9</v>
      </c>
      <c r="K5" s="324"/>
      <c r="L5" s="324"/>
      <c r="M5" s="188"/>
    </row>
    <row r="6" spans="1:13" ht="45">
      <c r="A6" s="358">
        <v>2</v>
      </c>
      <c r="B6" s="361" t="s">
        <v>233</v>
      </c>
      <c r="C6" s="199" t="s">
        <v>189</v>
      </c>
      <c r="D6" s="360">
        <v>65</v>
      </c>
      <c r="E6" s="359">
        <f t="shared" ref="E6:E53" si="1">TRUNC(D6*12,2)</f>
        <v>780</v>
      </c>
      <c r="F6" s="377">
        <f t="shared" ref="F6:F12" si="2">J6</f>
        <v>5.4</v>
      </c>
      <c r="G6" s="202">
        <f t="shared" si="0"/>
        <v>6.93</v>
      </c>
      <c r="H6" s="203">
        <f t="shared" ref="H6:H34" si="3">TRUNC(E6*G6,2)</f>
        <v>5405.4</v>
      </c>
      <c r="J6" s="324">
        <v>5.4</v>
      </c>
      <c r="K6" s="324"/>
      <c r="L6" s="324"/>
      <c r="M6" s="188"/>
    </row>
    <row r="7" spans="1:13" ht="45">
      <c r="A7" s="358">
        <v>3</v>
      </c>
      <c r="B7" s="361" t="s">
        <v>234</v>
      </c>
      <c r="C7" s="206" t="s">
        <v>272</v>
      </c>
      <c r="D7" s="360">
        <v>25</v>
      </c>
      <c r="E7" s="359">
        <f t="shared" si="1"/>
        <v>300</v>
      </c>
      <c r="F7" s="377">
        <f t="shared" si="2"/>
        <v>9</v>
      </c>
      <c r="G7" s="202">
        <f t="shared" si="0"/>
        <v>11.54</v>
      </c>
      <c r="H7" s="203">
        <f t="shared" si="3"/>
        <v>3462</v>
      </c>
      <c r="J7" s="324">
        <v>9</v>
      </c>
      <c r="K7" s="324"/>
      <c r="L7" s="324"/>
      <c r="M7" s="188"/>
    </row>
    <row r="8" spans="1:13" ht="45">
      <c r="A8" s="358">
        <v>4</v>
      </c>
      <c r="B8" s="361" t="s">
        <v>235</v>
      </c>
      <c r="C8" s="206" t="s">
        <v>156</v>
      </c>
      <c r="D8" s="360">
        <v>3</v>
      </c>
      <c r="E8" s="359">
        <f t="shared" si="1"/>
        <v>36</v>
      </c>
      <c r="F8" s="377">
        <f t="shared" si="2"/>
        <v>9.0500000000000007</v>
      </c>
      <c r="G8" s="202">
        <f t="shared" si="0"/>
        <v>11.61</v>
      </c>
      <c r="H8" s="203">
        <f t="shared" si="3"/>
        <v>417.96</v>
      </c>
      <c r="J8" s="324">
        <v>9.0500000000000007</v>
      </c>
      <c r="K8" s="324"/>
      <c r="L8" s="324"/>
      <c r="M8" s="188"/>
    </row>
    <row r="9" spans="1:13" ht="45">
      <c r="A9" s="358">
        <v>5</v>
      </c>
      <c r="B9" s="361" t="s">
        <v>237</v>
      </c>
      <c r="C9" s="206" t="s">
        <v>188</v>
      </c>
      <c r="D9" s="360">
        <v>14</v>
      </c>
      <c r="E9" s="359">
        <f t="shared" si="1"/>
        <v>168</v>
      </c>
      <c r="F9" s="377">
        <f t="shared" si="2"/>
        <v>13.95</v>
      </c>
      <c r="G9" s="202">
        <f t="shared" si="0"/>
        <v>17.89</v>
      </c>
      <c r="H9" s="203">
        <f t="shared" si="3"/>
        <v>3005.52</v>
      </c>
      <c r="J9" s="324">
        <v>13.95</v>
      </c>
      <c r="K9" s="324"/>
      <c r="L9" s="324"/>
      <c r="M9" s="188"/>
    </row>
    <row r="10" spans="1:13" ht="49.5" customHeight="1">
      <c r="A10" s="358">
        <v>6</v>
      </c>
      <c r="B10" s="361" t="s">
        <v>583</v>
      </c>
      <c r="C10" s="206" t="s">
        <v>273</v>
      </c>
      <c r="D10" s="360">
        <v>18</v>
      </c>
      <c r="E10" s="359">
        <f t="shared" si="1"/>
        <v>216</v>
      </c>
      <c r="F10" s="377">
        <f t="shared" si="2"/>
        <v>9.1</v>
      </c>
      <c r="G10" s="202">
        <f t="shared" si="0"/>
        <v>11.67</v>
      </c>
      <c r="H10" s="203">
        <f t="shared" si="3"/>
        <v>2520.7199999999998</v>
      </c>
      <c r="J10" s="324">
        <v>9.1</v>
      </c>
      <c r="K10" s="324"/>
      <c r="L10" s="324"/>
      <c r="M10" s="188"/>
    </row>
    <row r="11" spans="1:13" ht="105">
      <c r="A11" s="358">
        <v>7</v>
      </c>
      <c r="B11" s="361" t="s">
        <v>238</v>
      </c>
      <c r="C11" s="206" t="s">
        <v>272</v>
      </c>
      <c r="D11" s="360">
        <v>32</v>
      </c>
      <c r="E11" s="359">
        <f t="shared" si="1"/>
        <v>384</v>
      </c>
      <c r="F11" s="377">
        <f t="shared" si="2"/>
        <v>1.39</v>
      </c>
      <c r="G11" s="202">
        <f t="shared" si="0"/>
        <v>1.78</v>
      </c>
      <c r="H11" s="203">
        <f t="shared" si="3"/>
        <v>683.52</v>
      </c>
      <c r="J11" s="324">
        <v>1.39</v>
      </c>
      <c r="K11" s="324"/>
      <c r="L11" s="324"/>
      <c r="M11" s="188"/>
    </row>
    <row r="12" spans="1:13" ht="75">
      <c r="A12" s="358">
        <v>8</v>
      </c>
      <c r="B12" s="361" t="s">
        <v>584</v>
      </c>
      <c r="C12" s="206" t="s">
        <v>570</v>
      </c>
      <c r="D12" s="360">
        <v>10</v>
      </c>
      <c r="E12" s="359">
        <f t="shared" si="1"/>
        <v>120</v>
      </c>
      <c r="F12" s="377">
        <f t="shared" si="2"/>
        <v>16.04</v>
      </c>
      <c r="G12" s="202">
        <f t="shared" si="0"/>
        <v>20.57</v>
      </c>
      <c r="H12" s="203">
        <f t="shared" si="3"/>
        <v>2468.4</v>
      </c>
      <c r="J12" s="324">
        <v>16.04</v>
      </c>
      <c r="K12" s="324"/>
      <c r="L12" s="324"/>
      <c r="M12" s="188"/>
    </row>
    <row r="13" spans="1:13" ht="30">
      <c r="A13" s="358">
        <v>9</v>
      </c>
      <c r="B13" s="361" t="s">
        <v>585</v>
      </c>
      <c r="C13" s="206" t="s">
        <v>156</v>
      </c>
      <c r="D13" s="360">
        <v>10</v>
      </c>
      <c r="E13" s="359">
        <f t="shared" si="1"/>
        <v>120</v>
      </c>
      <c r="F13" s="378">
        <v>17.079999999999998</v>
      </c>
      <c r="G13" s="202">
        <f t="shared" si="0"/>
        <v>21.91</v>
      </c>
      <c r="H13" s="203">
        <f t="shared" si="3"/>
        <v>2629.2</v>
      </c>
      <c r="J13" s="324">
        <v>46.19</v>
      </c>
      <c r="K13" s="324"/>
      <c r="L13" s="324"/>
      <c r="M13" s="188"/>
    </row>
    <row r="14" spans="1:13">
      <c r="A14" s="358">
        <v>10</v>
      </c>
      <c r="B14" s="361" t="s">
        <v>239</v>
      </c>
      <c r="C14" s="206" t="s">
        <v>156</v>
      </c>
      <c r="D14" s="360">
        <v>7</v>
      </c>
      <c r="E14" s="359">
        <f t="shared" si="1"/>
        <v>84</v>
      </c>
      <c r="F14" s="378">
        <f>J14</f>
        <v>2.36</v>
      </c>
      <c r="G14" s="202">
        <f t="shared" si="0"/>
        <v>3.03</v>
      </c>
      <c r="H14" s="203">
        <f t="shared" si="3"/>
        <v>254.52</v>
      </c>
      <c r="J14" s="324">
        <v>2.36</v>
      </c>
      <c r="K14" s="324"/>
      <c r="L14" s="324"/>
      <c r="M14" s="188"/>
    </row>
    <row r="15" spans="1:13" ht="45">
      <c r="A15" s="358">
        <v>11</v>
      </c>
      <c r="B15" s="361" t="s">
        <v>240</v>
      </c>
      <c r="C15" s="206" t="s">
        <v>274</v>
      </c>
      <c r="D15" s="360">
        <v>65</v>
      </c>
      <c r="E15" s="359">
        <f t="shared" si="1"/>
        <v>780</v>
      </c>
      <c r="F15" s="378">
        <f t="shared" ref="F15:F19" si="4">J15</f>
        <v>0.75</v>
      </c>
      <c r="G15" s="202">
        <f t="shared" si="0"/>
        <v>0.96</v>
      </c>
      <c r="H15" s="203">
        <f t="shared" si="3"/>
        <v>748.8</v>
      </c>
      <c r="J15" s="324">
        <v>0.75</v>
      </c>
      <c r="K15" s="324"/>
      <c r="L15" s="324"/>
      <c r="M15" s="188"/>
    </row>
    <row r="16" spans="1:13" ht="30">
      <c r="A16" s="358">
        <v>12</v>
      </c>
      <c r="B16" s="361" t="s">
        <v>554</v>
      </c>
      <c r="C16" s="206" t="s">
        <v>156</v>
      </c>
      <c r="D16" s="360">
        <v>40</v>
      </c>
      <c r="E16" s="359">
        <f t="shared" si="1"/>
        <v>480</v>
      </c>
      <c r="F16" s="378">
        <f t="shared" si="4"/>
        <v>1.7</v>
      </c>
      <c r="G16" s="202">
        <f t="shared" si="0"/>
        <v>2.1800000000000002</v>
      </c>
      <c r="H16" s="203">
        <f t="shared" si="3"/>
        <v>1046.4000000000001</v>
      </c>
      <c r="J16" s="324">
        <v>1.7</v>
      </c>
      <c r="K16" s="324"/>
      <c r="L16" s="324"/>
      <c r="M16" s="188"/>
    </row>
    <row r="17" spans="1:13" ht="30">
      <c r="A17" s="358">
        <v>13</v>
      </c>
      <c r="B17" s="361" t="s">
        <v>586</v>
      </c>
      <c r="C17" s="206" t="s">
        <v>182</v>
      </c>
      <c r="D17" s="360">
        <v>10</v>
      </c>
      <c r="E17" s="359">
        <f t="shared" si="1"/>
        <v>120</v>
      </c>
      <c r="F17" s="378">
        <f t="shared" si="4"/>
        <v>1.5</v>
      </c>
      <c r="G17" s="202">
        <f t="shared" si="0"/>
        <v>1.92</v>
      </c>
      <c r="H17" s="203">
        <f t="shared" si="3"/>
        <v>230.4</v>
      </c>
      <c r="J17" s="324">
        <v>1.5</v>
      </c>
      <c r="K17" s="324"/>
      <c r="L17" s="324"/>
      <c r="M17" s="188"/>
    </row>
    <row r="18" spans="1:13" ht="45">
      <c r="A18" s="358">
        <v>14</v>
      </c>
      <c r="B18" s="361" t="s">
        <v>241</v>
      </c>
      <c r="C18" s="206" t="s">
        <v>272</v>
      </c>
      <c r="D18" s="360">
        <v>34</v>
      </c>
      <c r="E18" s="359">
        <f t="shared" si="1"/>
        <v>408</v>
      </c>
      <c r="F18" s="378">
        <f t="shared" si="4"/>
        <v>3.02</v>
      </c>
      <c r="G18" s="202">
        <f t="shared" si="0"/>
        <v>3.87</v>
      </c>
      <c r="H18" s="203">
        <f t="shared" si="3"/>
        <v>1578.96</v>
      </c>
      <c r="J18" s="324">
        <v>3.02</v>
      </c>
      <c r="K18" s="324"/>
      <c r="L18" s="324"/>
      <c r="M18" s="188"/>
    </row>
    <row r="19" spans="1:13" ht="60">
      <c r="A19" s="358">
        <v>15</v>
      </c>
      <c r="B19" s="361" t="s">
        <v>242</v>
      </c>
      <c r="C19" s="206" t="s">
        <v>188</v>
      </c>
      <c r="D19" s="360">
        <v>11</v>
      </c>
      <c r="E19" s="359">
        <f t="shared" si="1"/>
        <v>132</v>
      </c>
      <c r="F19" s="378">
        <f t="shared" si="4"/>
        <v>43.5</v>
      </c>
      <c r="G19" s="202">
        <f t="shared" si="0"/>
        <v>55.8</v>
      </c>
      <c r="H19" s="203">
        <f t="shared" si="3"/>
        <v>7365.6</v>
      </c>
      <c r="J19" s="324">
        <v>43.5</v>
      </c>
      <c r="K19" s="324"/>
      <c r="L19" s="324"/>
      <c r="M19" s="188"/>
    </row>
    <row r="20" spans="1:13" ht="79.5" customHeight="1">
      <c r="A20" s="358">
        <v>16</v>
      </c>
      <c r="B20" s="361" t="s">
        <v>243</v>
      </c>
      <c r="C20" s="206" t="s">
        <v>272</v>
      </c>
      <c r="D20" s="360">
        <v>100</v>
      </c>
      <c r="E20" s="359">
        <f t="shared" si="1"/>
        <v>1200</v>
      </c>
      <c r="F20" s="378">
        <f>J20</f>
        <v>2.15</v>
      </c>
      <c r="G20" s="202">
        <f t="shared" si="0"/>
        <v>2.76</v>
      </c>
      <c r="H20" s="203">
        <f t="shared" si="3"/>
        <v>3312</v>
      </c>
      <c r="J20" s="324">
        <v>2.15</v>
      </c>
      <c r="K20" s="324"/>
      <c r="L20" s="324"/>
      <c r="M20" s="188"/>
    </row>
    <row r="21" spans="1:13" ht="45">
      <c r="A21" s="358">
        <v>17</v>
      </c>
      <c r="B21" s="361" t="s">
        <v>587</v>
      </c>
      <c r="C21" s="206" t="s">
        <v>272</v>
      </c>
      <c r="D21" s="360">
        <v>8</v>
      </c>
      <c r="E21" s="359">
        <f t="shared" si="1"/>
        <v>96</v>
      </c>
      <c r="F21" s="378">
        <f t="shared" ref="F21:F24" si="5">J21</f>
        <v>5.68</v>
      </c>
      <c r="G21" s="202">
        <f t="shared" si="0"/>
        <v>7.29</v>
      </c>
      <c r="H21" s="203">
        <f t="shared" si="3"/>
        <v>699.84</v>
      </c>
      <c r="J21" s="324">
        <v>5.68</v>
      </c>
      <c r="K21" s="324"/>
      <c r="L21" s="324"/>
      <c r="M21" s="188"/>
    </row>
    <row r="22" spans="1:13" ht="45">
      <c r="A22" s="358">
        <v>18</v>
      </c>
      <c r="B22" s="361" t="s">
        <v>244</v>
      </c>
      <c r="C22" s="206" t="s">
        <v>276</v>
      </c>
      <c r="D22" s="360">
        <v>42</v>
      </c>
      <c r="E22" s="359">
        <f t="shared" si="1"/>
        <v>504</v>
      </c>
      <c r="F22" s="378">
        <f t="shared" si="5"/>
        <v>2.2999999999999998</v>
      </c>
      <c r="G22" s="202">
        <f t="shared" si="0"/>
        <v>2.95</v>
      </c>
      <c r="H22" s="203">
        <f t="shared" si="3"/>
        <v>1486.8</v>
      </c>
      <c r="J22" s="324">
        <v>2.2999999999999998</v>
      </c>
      <c r="K22" s="324"/>
      <c r="L22" s="324"/>
      <c r="M22" s="188"/>
    </row>
    <row r="23" spans="1:13" ht="30">
      <c r="A23" s="358">
        <v>19</v>
      </c>
      <c r="B23" s="361" t="s">
        <v>588</v>
      </c>
      <c r="C23" s="206" t="s">
        <v>156</v>
      </c>
      <c r="D23" s="360">
        <v>4</v>
      </c>
      <c r="E23" s="359">
        <f t="shared" si="1"/>
        <v>48</v>
      </c>
      <c r="F23" s="378">
        <f t="shared" si="5"/>
        <v>5.45</v>
      </c>
      <c r="G23" s="202">
        <f t="shared" si="0"/>
        <v>6.99</v>
      </c>
      <c r="H23" s="203">
        <f t="shared" si="3"/>
        <v>335.52</v>
      </c>
      <c r="J23" s="324">
        <v>5.45</v>
      </c>
      <c r="K23" s="324"/>
      <c r="L23" s="324"/>
      <c r="M23" s="188"/>
    </row>
    <row r="24" spans="1:13" ht="45">
      <c r="A24" s="358">
        <v>20</v>
      </c>
      <c r="B24" s="361" t="s">
        <v>245</v>
      </c>
      <c r="C24" s="206" t="s">
        <v>156</v>
      </c>
      <c r="D24" s="360">
        <v>28</v>
      </c>
      <c r="E24" s="359">
        <f t="shared" si="1"/>
        <v>336</v>
      </c>
      <c r="F24" s="378">
        <f t="shared" si="5"/>
        <v>2.63</v>
      </c>
      <c r="G24" s="202">
        <f t="shared" si="0"/>
        <v>3.37</v>
      </c>
      <c r="H24" s="203">
        <f t="shared" si="3"/>
        <v>1132.32</v>
      </c>
      <c r="J24" s="324">
        <v>2.63</v>
      </c>
      <c r="K24" s="324"/>
      <c r="L24" s="324"/>
      <c r="M24" s="188"/>
    </row>
    <row r="25" spans="1:13" ht="45">
      <c r="A25" s="358">
        <v>21</v>
      </c>
      <c r="B25" s="361" t="s">
        <v>246</v>
      </c>
      <c r="C25" s="206" t="s">
        <v>277</v>
      </c>
      <c r="D25" s="360">
        <v>35</v>
      </c>
      <c r="E25" s="359">
        <f t="shared" si="1"/>
        <v>420</v>
      </c>
      <c r="F25" s="378">
        <f>TRUNC(AVERAGE(J25:L25),2)</f>
        <v>130.53</v>
      </c>
      <c r="G25" s="202">
        <f t="shared" si="0"/>
        <v>167.43</v>
      </c>
      <c r="H25" s="203">
        <f t="shared" si="3"/>
        <v>70320.600000000006</v>
      </c>
      <c r="J25" s="324">
        <v>67</v>
      </c>
      <c r="K25" s="324">
        <v>142.56</v>
      </c>
      <c r="L25" s="324">
        <v>182.05</v>
      </c>
      <c r="M25" s="188"/>
    </row>
    <row r="26" spans="1:13" ht="75">
      <c r="A26" s="358">
        <v>22</v>
      </c>
      <c r="B26" s="361" t="s">
        <v>648</v>
      </c>
      <c r="C26" s="206" t="s">
        <v>277</v>
      </c>
      <c r="D26" s="360">
        <v>110</v>
      </c>
      <c r="E26" s="359">
        <f t="shared" si="1"/>
        <v>1320</v>
      </c>
      <c r="F26" s="378">
        <f>TRUNC(AVERAGE(J26:M26),2)</f>
        <v>101.41</v>
      </c>
      <c r="G26" s="202">
        <f t="shared" si="0"/>
        <v>130.08000000000001</v>
      </c>
      <c r="H26" s="203">
        <f t="shared" si="3"/>
        <v>171705.60000000001</v>
      </c>
      <c r="J26" s="324">
        <v>58.67</v>
      </c>
      <c r="K26" s="324">
        <v>85.8</v>
      </c>
      <c r="L26" s="324">
        <v>151.19999999999999</v>
      </c>
      <c r="M26" s="324">
        <v>109.99</v>
      </c>
    </row>
    <row r="27" spans="1:13">
      <c r="A27" s="358">
        <v>23</v>
      </c>
      <c r="B27" s="361" t="s">
        <v>247</v>
      </c>
      <c r="C27" s="206" t="s">
        <v>156</v>
      </c>
      <c r="D27" s="360">
        <v>7</v>
      </c>
      <c r="E27" s="359">
        <f t="shared" si="1"/>
        <v>84</v>
      </c>
      <c r="F27" s="378">
        <f>J27</f>
        <v>5</v>
      </c>
      <c r="G27" s="202">
        <f t="shared" si="0"/>
        <v>6.41</v>
      </c>
      <c r="H27" s="203">
        <f t="shared" si="3"/>
        <v>538.44000000000005</v>
      </c>
      <c r="J27" s="324">
        <v>5</v>
      </c>
      <c r="K27" s="324"/>
      <c r="L27" s="324"/>
      <c r="M27" s="188"/>
    </row>
    <row r="28" spans="1:13" ht="30">
      <c r="A28" s="358">
        <v>24</v>
      </c>
      <c r="B28" s="361" t="s">
        <v>627</v>
      </c>
      <c r="C28" s="206" t="s">
        <v>183</v>
      </c>
      <c r="D28" s="360">
        <v>10</v>
      </c>
      <c r="E28" s="359">
        <f t="shared" si="1"/>
        <v>120</v>
      </c>
      <c r="F28" s="378">
        <f>J28</f>
        <v>11.55</v>
      </c>
      <c r="G28" s="202">
        <f t="shared" si="0"/>
        <v>14.82</v>
      </c>
      <c r="H28" s="203">
        <f t="shared" si="3"/>
        <v>1778.4</v>
      </c>
      <c r="J28" s="324">
        <v>11.55</v>
      </c>
      <c r="K28" s="324"/>
      <c r="L28" s="324"/>
      <c r="M28" s="188"/>
    </row>
    <row r="29" spans="1:13" ht="45">
      <c r="A29" s="358">
        <v>25</v>
      </c>
      <c r="B29" s="361" t="s">
        <v>249</v>
      </c>
      <c r="C29" s="206" t="s">
        <v>182</v>
      </c>
      <c r="D29" s="360">
        <v>14</v>
      </c>
      <c r="E29" s="359">
        <f t="shared" si="1"/>
        <v>168</v>
      </c>
      <c r="F29" s="378">
        <f t="shared" ref="F29:F31" si="6">J29</f>
        <v>6.45</v>
      </c>
      <c r="G29" s="202">
        <f t="shared" si="0"/>
        <v>8.27</v>
      </c>
      <c r="H29" s="203">
        <f t="shared" si="3"/>
        <v>1389.36</v>
      </c>
      <c r="J29" s="324">
        <v>6.45</v>
      </c>
      <c r="K29" s="324"/>
      <c r="L29" s="324"/>
      <c r="M29" s="188"/>
    </row>
    <row r="30" spans="1:13" ht="45">
      <c r="A30" s="358">
        <v>26</v>
      </c>
      <c r="B30" s="361" t="s">
        <v>589</v>
      </c>
      <c r="C30" s="206" t="s">
        <v>183</v>
      </c>
      <c r="D30" s="360">
        <v>17</v>
      </c>
      <c r="E30" s="359">
        <f t="shared" si="1"/>
        <v>204</v>
      </c>
      <c r="F30" s="378">
        <f t="shared" si="6"/>
        <v>7.42</v>
      </c>
      <c r="G30" s="202">
        <f t="shared" si="0"/>
        <v>9.52</v>
      </c>
      <c r="H30" s="203">
        <f t="shared" si="3"/>
        <v>1942.08</v>
      </c>
      <c r="J30" s="324">
        <v>7.42</v>
      </c>
      <c r="K30" s="324"/>
      <c r="L30" s="324"/>
      <c r="M30" s="188"/>
    </row>
    <row r="31" spans="1:13" ht="45">
      <c r="A31" s="358">
        <v>27</v>
      </c>
      <c r="B31" s="361" t="s">
        <v>250</v>
      </c>
      <c r="C31" s="206" t="s">
        <v>273</v>
      </c>
      <c r="D31" s="360">
        <v>45</v>
      </c>
      <c r="E31" s="359">
        <f t="shared" si="1"/>
        <v>540</v>
      </c>
      <c r="F31" s="378">
        <f t="shared" si="6"/>
        <v>6.44</v>
      </c>
      <c r="G31" s="202">
        <f t="shared" si="0"/>
        <v>8.26</v>
      </c>
      <c r="H31" s="203">
        <f t="shared" si="3"/>
        <v>4460.3999999999996</v>
      </c>
      <c r="J31" s="324">
        <v>6.44</v>
      </c>
      <c r="K31" s="324"/>
      <c r="L31" s="324"/>
      <c r="M31" s="188"/>
    </row>
    <row r="32" spans="1:13">
      <c r="A32" s="358">
        <v>28</v>
      </c>
      <c r="B32" s="361" t="s">
        <v>251</v>
      </c>
      <c r="C32" s="206" t="s">
        <v>183</v>
      </c>
      <c r="D32" s="360">
        <v>7</v>
      </c>
      <c r="E32" s="359">
        <f t="shared" si="1"/>
        <v>84</v>
      </c>
      <c r="F32" s="378"/>
      <c r="G32" s="202">
        <f t="shared" si="0"/>
        <v>0</v>
      </c>
      <c r="H32" s="203">
        <f t="shared" si="3"/>
        <v>0</v>
      </c>
      <c r="J32" s="324"/>
      <c r="K32" s="324"/>
      <c r="L32" s="324"/>
      <c r="M32" s="188"/>
    </row>
    <row r="33" spans="1:13" ht="45">
      <c r="A33" s="358">
        <v>29</v>
      </c>
      <c r="B33" s="361" t="s">
        <v>590</v>
      </c>
      <c r="C33" s="206" t="s">
        <v>182</v>
      </c>
      <c r="D33" s="360">
        <v>14</v>
      </c>
      <c r="E33" s="359">
        <f t="shared" si="1"/>
        <v>168</v>
      </c>
      <c r="F33" s="378">
        <f>J33</f>
        <v>22</v>
      </c>
      <c r="G33" s="202">
        <f t="shared" si="0"/>
        <v>28.22</v>
      </c>
      <c r="H33" s="203">
        <f t="shared" si="3"/>
        <v>4740.96</v>
      </c>
      <c r="J33" s="324">
        <v>22</v>
      </c>
      <c r="K33" s="324"/>
      <c r="L33" s="324"/>
      <c r="M33" s="188"/>
    </row>
    <row r="34" spans="1:13" ht="45">
      <c r="A34" s="358">
        <v>30</v>
      </c>
      <c r="B34" s="361" t="s">
        <v>252</v>
      </c>
      <c r="C34" s="206" t="s">
        <v>182</v>
      </c>
      <c r="D34" s="360">
        <v>6</v>
      </c>
      <c r="E34" s="359">
        <f t="shared" si="1"/>
        <v>72</v>
      </c>
      <c r="F34" s="378">
        <f>J34</f>
        <v>7.88</v>
      </c>
      <c r="G34" s="202">
        <f t="shared" si="0"/>
        <v>10.11</v>
      </c>
      <c r="H34" s="203">
        <f t="shared" si="3"/>
        <v>727.92</v>
      </c>
      <c r="J34" s="324">
        <v>7.88</v>
      </c>
      <c r="K34" s="324"/>
      <c r="L34" s="324"/>
      <c r="M34" s="188"/>
    </row>
    <row r="35" spans="1:13">
      <c r="A35" s="358">
        <v>31</v>
      </c>
      <c r="B35" s="361" t="s">
        <v>591</v>
      </c>
      <c r="C35" s="206" t="s">
        <v>182</v>
      </c>
      <c r="D35" s="360">
        <v>4</v>
      </c>
      <c r="E35" s="359">
        <f t="shared" si="1"/>
        <v>48</v>
      </c>
      <c r="F35" s="378">
        <f>TRUNC(AVERAGE(K35:M35),2)</f>
        <v>100.66</v>
      </c>
      <c r="G35" s="202">
        <f t="shared" ref="G35:G53" si="7">ROUND(($G$4*F35)+F35,2)</f>
        <v>129.12</v>
      </c>
      <c r="H35" s="203">
        <f t="shared" ref="H35:H53" si="8">TRUNC(E35*G35,2)</f>
        <v>6197.76</v>
      </c>
      <c r="J35" s="324"/>
      <c r="K35" s="324">
        <v>112.37</v>
      </c>
      <c r="L35" s="324">
        <v>74.989999999999995</v>
      </c>
      <c r="M35" s="188">
        <f>78.9+35.72</f>
        <v>114.62</v>
      </c>
    </row>
    <row r="36" spans="1:13">
      <c r="A36" s="358">
        <v>32</v>
      </c>
      <c r="B36" s="361" t="s">
        <v>253</v>
      </c>
      <c r="C36" s="206" t="s">
        <v>156</v>
      </c>
      <c r="D36" s="360">
        <v>60</v>
      </c>
      <c r="E36" s="359">
        <f t="shared" si="1"/>
        <v>720</v>
      </c>
      <c r="F36" s="378">
        <f>J36</f>
        <v>2.77</v>
      </c>
      <c r="G36" s="202">
        <f t="shared" si="7"/>
        <v>3.55</v>
      </c>
      <c r="H36" s="203">
        <f t="shared" si="8"/>
        <v>2556</v>
      </c>
      <c r="J36" s="324">
        <v>2.77</v>
      </c>
      <c r="K36" s="324"/>
      <c r="L36" s="324"/>
      <c r="M36" s="188"/>
    </row>
    <row r="37" spans="1:13" ht="45">
      <c r="A37" s="358">
        <v>33</v>
      </c>
      <c r="B37" s="361" t="s">
        <v>248</v>
      </c>
      <c r="C37" s="206" t="s">
        <v>156</v>
      </c>
      <c r="D37" s="360">
        <v>10</v>
      </c>
      <c r="E37" s="359">
        <f>TRUNC(D37*12,2)</f>
        <v>120</v>
      </c>
      <c r="F37" s="378">
        <f>J37</f>
        <v>7.3</v>
      </c>
      <c r="G37" s="202">
        <f>ROUND(($G$4*F37)+F37,2)</f>
        <v>9.36</v>
      </c>
      <c r="H37" s="203">
        <f>TRUNC(E37*G37,2)</f>
        <v>1123.2</v>
      </c>
      <c r="J37" s="324">
        <v>7.3</v>
      </c>
      <c r="K37" s="324"/>
      <c r="L37" s="324"/>
      <c r="M37" s="188"/>
    </row>
    <row r="38" spans="1:13" ht="30">
      <c r="A38" s="358">
        <v>34</v>
      </c>
      <c r="B38" s="361" t="s">
        <v>592</v>
      </c>
      <c r="C38" s="206" t="s">
        <v>156</v>
      </c>
      <c r="D38" s="360">
        <v>4</v>
      </c>
      <c r="E38" s="359">
        <f t="shared" si="1"/>
        <v>48</v>
      </c>
      <c r="F38" s="378">
        <f t="shared" ref="F38:F41" si="9">J38</f>
        <v>14.49</v>
      </c>
      <c r="G38" s="202">
        <f t="shared" si="7"/>
        <v>18.59</v>
      </c>
      <c r="H38" s="203">
        <f t="shared" si="8"/>
        <v>892.32</v>
      </c>
      <c r="J38" s="324">
        <v>14.49</v>
      </c>
      <c r="K38" s="324"/>
      <c r="L38" s="324"/>
      <c r="M38" s="188"/>
    </row>
    <row r="39" spans="1:13" ht="30">
      <c r="A39" s="358">
        <v>35</v>
      </c>
      <c r="B39" s="361" t="s">
        <v>594</v>
      </c>
      <c r="C39" s="206" t="s">
        <v>156</v>
      </c>
      <c r="D39" s="360">
        <v>9</v>
      </c>
      <c r="E39" s="359">
        <f t="shared" si="1"/>
        <v>108</v>
      </c>
      <c r="F39" s="378">
        <f t="shared" si="9"/>
        <v>4</v>
      </c>
      <c r="G39" s="202">
        <f t="shared" si="7"/>
        <v>5.13</v>
      </c>
      <c r="H39" s="203">
        <f t="shared" si="8"/>
        <v>554.04</v>
      </c>
      <c r="J39" s="324">
        <v>4</v>
      </c>
      <c r="K39" s="324"/>
      <c r="L39" s="324"/>
      <c r="M39" s="188"/>
    </row>
    <row r="40" spans="1:13" ht="60">
      <c r="A40" s="358">
        <v>36</v>
      </c>
      <c r="B40" s="361" t="s">
        <v>593</v>
      </c>
      <c r="C40" s="206" t="s">
        <v>156</v>
      </c>
      <c r="D40" s="360">
        <v>4</v>
      </c>
      <c r="E40" s="359">
        <f t="shared" si="1"/>
        <v>48</v>
      </c>
      <c r="F40" s="378">
        <f t="shared" si="9"/>
        <v>14.04</v>
      </c>
      <c r="G40" s="202">
        <f t="shared" si="7"/>
        <v>18.010000000000002</v>
      </c>
      <c r="H40" s="203">
        <f t="shared" si="8"/>
        <v>864.48</v>
      </c>
      <c r="J40" s="324">
        <v>14.04</v>
      </c>
      <c r="K40" s="324"/>
      <c r="L40" s="324"/>
      <c r="M40" s="188"/>
    </row>
    <row r="41" spans="1:13">
      <c r="A41" s="358">
        <v>37</v>
      </c>
      <c r="B41" s="361" t="s">
        <v>254</v>
      </c>
      <c r="C41" s="206" t="s">
        <v>156</v>
      </c>
      <c r="D41" s="360">
        <v>3</v>
      </c>
      <c r="E41" s="359">
        <f t="shared" si="1"/>
        <v>36</v>
      </c>
      <c r="F41" s="378">
        <f t="shared" si="9"/>
        <v>30.99</v>
      </c>
      <c r="G41" s="202">
        <f t="shared" si="7"/>
        <v>39.75</v>
      </c>
      <c r="H41" s="203">
        <f t="shared" si="8"/>
        <v>1431</v>
      </c>
      <c r="J41" s="324">
        <v>30.99</v>
      </c>
      <c r="K41" s="324"/>
      <c r="L41" s="324"/>
      <c r="M41" s="188"/>
    </row>
    <row r="42" spans="1:13" ht="75">
      <c r="A42" s="358">
        <v>38</v>
      </c>
      <c r="B42" s="361" t="s">
        <v>595</v>
      </c>
      <c r="C42" s="206" t="s">
        <v>580</v>
      </c>
      <c r="D42" s="360">
        <v>150</v>
      </c>
      <c r="E42" s="359">
        <f t="shared" si="1"/>
        <v>1800</v>
      </c>
      <c r="F42" s="378">
        <f>J42</f>
        <v>2.19</v>
      </c>
      <c r="G42" s="202">
        <f t="shared" si="7"/>
        <v>2.81</v>
      </c>
      <c r="H42" s="203">
        <f t="shared" si="8"/>
        <v>5058</v>
      </c>
      <c r="J42" s="324">
        <v>2.19</v>
      </c>
      <c r="K42" s="324"/>
      <c r="L42" s="324"/>
      <c r="M42" s="188"/>
    </row>
    <row r="43" spans="1:13">
      <c r="A43" s="358">
        <v>39</v>
      </c>
      <c r="B43" s="361" t="s">
        <v>255</v>
      </c>
      <c r="C43" s="206" t="s">
        <v>156</v>
      </c>
      <c r="D43" s="360">
        <v>6</v>
      </c>
      <c r="E43" s="359">
        <f t="shared" si="1"/>
        <v>72</v>
      </c>
      <c r="F43" s="378">
        <f t="shared" ref="F43:F46" si="10">J43</f>
        <v>23.19</v>
      </c>
      <c r="G43" s="202">
        <f t="shared" si="7"/>
        <v>29.75</v>
      </c>
      <c r="H43" s="203">
        <f t="shared" si="8"/>
        <v>2142</v>
      </c>
      <c r="J43" s="324">
        <v>23.19</v>
      </c>
      <c r="K43" s="324"/>
      <c r="L43" s="324"/>
      <c r="M43" s="188"/>
    </row>
    <row r="44" spans="1:13">
      <c r="A44" s="358">
        <v>40</v>
      </c>
      <c r="B44" s="361" t="s">
        <v>259</v>
      </c>
      <c r="C44" s="206" t="s">
        <v>156</v>
      </c>
      <c r="D44" s="360">
        <v>2</v>
      </c>
      <c r="E44" s="359">
        <f t="shared" si="1"/>
        <v>24</v>
      </c>
      <c r="F44" s="378">
        <f t="shared" si="10"/>
        <v>53.2</v>
      </c>
      <c r="G44" s="202">
        <f t="shared" si="7"/>
        <v>68.239999999999995</v>
      </c>
      <c r="H44" s="203">
        <f t="shared" si="8"/>
        <v>1637.76</v>
      </c>
      <c r="J44" s="324">
        <v>53.2</v>
      </c>
      <c r="K44" s="324"/>
      <c r="L44" s="324"/>
      <c r="M44" s="188"/>
    </row>
    <row r="45" spans="1:13">
      <c r="A45" s="358">
        <v>41</v>
      </c>
      <c r="B45" s="361" t="s">
        <v>260</v>
      </c>
      <c r="C45" s="206" t="s">
        <v>156</v>
      </c>
      <c r="D45" s="360">
        <v>6</v>
      </c>
      <c r="E45" s="359">
        <f t="shared" si="1"/>
        <v>72</v>
      </c>
      <c r="F45" s="378">
        <f t="shared" si="10"/>
        <v>26.4</v>
      </c>
      <c r="G45" s="202">
        <f>ROUND(($G$4*F45)+F45,2)</f>
        <v>33.86</v>
      </c>
      <c r="H45" s="203">
        <f t="shared" si="8"/>
        <v>2437.92</v>
      </c>
      <c r="J45" s="324">
        <v>26.4</v>
      </c>
      <c r="K45" s="324"/>
      <c r="L45" s="324"/>
      <c r="M45" s="188"/>
    </row>
    <row r="46" spans="1:13">
      <c r="A46" s="358">
        <v>42</v>
      </c>
      <c r="B46" s="361" t="s">
        <v>549</v>
      </c>
      <c r="C46" s="206" t="s">
        <v>156</v>
      </c>
      <c r="D46" s="360">
        <v>2</v>
      </c>
      <c r="E46" s="359">
        <f>TRUNC(D46*12,2)</f>
        <v>24</v>
      </c>
      <c r="F46" s="378">
        <f t="shared" si="10"/>
        <v>68</v>
      </c>
      <c r="G46" s="202">
        <f>ROUND(($G$4*F46)+F46,2)</f>
        <v>87.22</v>
      </c>
      <c r="H46" s="203">
        <f t="shared" si="8"/>
        <v>2093.2800000000002</v>
      </c>
      <c r="J46" s="324">
        <v>68</v>
      </c>
      <c r="K46" s="324"/>
      <c r="L46" s="324"/>
      <c r="M46" s="188"/>
    </row>
    <row r="47" spans="1:13" ht="120">
      <c r="A47" s="358">
        <v>43</v>
      </c>
      <c r="B47" s="361" t="s">
        <v>649</v>
      </c>
      <c r="C47" s="206" t="s">
        <v>188</v>
      </c>
      <c r="D47" s="360"/>
      <c r="E47" s="359">
        <v>30</v>
      </c>
      <c r="F47" s="378">
        <f t="shared" ref="F47:F48" si="11">TRUNC(AVERAGE(J47:M47),2)</f>
        <v>92.14</v>
      </c>
      <c r="G47" s="202">
        <f>ROUND(($G$4*F47)+F47,2)</f>
        <v>118.19</v>
      </c>
      <c r="H47" s="203">
        <f>TRUNC(E47*G47,2)</f>
        <v>3545.7</v>
      </c>
      <c r="J47" s="324">
        <f>5*22</f>
        <v>110</v>
      </c>
      <c r="K47" s="324">
        <v>74.290000000000006</v>
      </c>
      <c r="L47" s="324"/>
      <c r="M47" s="324"/>
    </row>
    <row r="48" spans="1:13" ht="90">
      <c r="A48" s="423">
        <v>44</v>
      </c>
      <c r="B48" s="361" t="s">
        <v>650</v>
      </c>
      <c r="C48" s="206" t="s">
        <v>188</v>
      </c>
      <c r="D48" s="360"/>
      <c r="E48" s="424">
        <v>30</v>
      </c>
      <c r="F48" s="378">
        <f t="shared" si="11"/>
        <v>178.19</v>
      </c>
      <c r="G48" s="202">
        <f t="shared" ref="G48:G49" si="12">ROUND(($G$4*F48)+F48,2)</f>
        <v>228.56</v>
      </c>
      <c r="H48" s="203">
        <f t="shared" ref="H48:H49" si="13">TRUNC(E48*G48,2)</f>
        <v>6856.8</v>
      </c>
      <c r="J48" s="324"/>
      <c r="K48" s="324">
        <v>167.58</v>
      </c>
      <c r="L48" s="324">
        <v>178</v>
      </c>
      <c r="M48" s="324">
        <v>189</v>
      </c>
    </row>
    <row r="49" spans="1:13" ht="105">
      <c r="A49" s="423">
        <v>45</v>
      </c>
      <c r="B49" s="361" t="s">
        <v>651</v>
      </c>
      <c r="C49" s="206" t="s">
        <v>188</v>
      </c>
      <c r="D49" s="360"/>
      <c r="E49" s="424">
        <v>30</v>
      </c>
      <c r="F49" s="378">
        <f>TRUNC(AVERAGE(J49:M49),2)</f>
        <v>128.59</v>
      </c>
      <c r="G49" s="202">
        <f t="shared" si="12"/>
        <v>164.94</v>
      </c>
      <c r="H49" s="203">
        <f t="shared" si="13"/>
        <v>4948.2</v>
      </c>
      <c r="J49" s="324"/>
      <c r="K49" s="324">
        <v>93.78</v>
      </c>
      <c r="L49" s="324">
        <v>136</v>
      </c>
      <c r="M49" s="324">
        <v>156</v>
      </c>
    </row>
    <row r="50" spans="1:13">
      <c r="A50" s="358">
        <v>46</v>
      </c>
      <c r="B50" s="361" t="s">
        <v>261</v>
      </c>
      <c r="C50" s="206" t="s">
        <v>156</v>
      </c>
      <c r="D50" s="360">
        <v>1</v>
      </c>
      <c r="E50" s="359">
        <f t="shared" si="1"/>
        <v>12</v>
      </c>
      <c r="F50" s="378">
        <f>J50</f>
        <v>35.840000000000003</v>
      </c>
      <c r="G50" s="202">
        <f t="shared" si="7"/>
        <v>45.97</v>
      </c>
      <c r="H50" s="203">
        <f t="shared" si="8"/>
        <v>551.64</v>
      </c>
      <c r="J50" s="324">
        <v>35.840000000000003</v>
      </c>
      <c r="K50" s="324"/>
      <c r="L50" s="324"/>
      <c r="M50" s="324"/>
    </row>
    <row r="51" spans="1:13" ht="15" customHeight="1">
      <c r="A51" s="423">
        <v>47</v>
      </c>
      <c r="B51" s="361" t="s">
        <v>553</v>
      </c>
      <c r="C51" s="206" t="s">
        <v>156</v>
      </c>
      <c r="D51" s="360">
        <v>1</v>
      </c>
      <c r="E51" s="359">
        <f t="shared" si="1"/>
        <v>12</v>
      </c>
      <c r="F51" s="378">
        <f t="shared" ref="F51:F53" si="14">J51</f>
        <v>27.9</v>
      </c>
      <c r="G51" s="202">
        <f t="shared" si="7"/>
        <v>35.79</v>
      </c>
      <c r="H51" s="203">
        <f t="shared" si="8"/>
        <v>429.48</v>
      </c>
      <c r="J51" s="324">
        <v>27.9</v>
      </c>
      <c r="K51" s="324"/>
      <c r="L51" s="324"/>
      <c r="M51" s="188"/>
    </row>
    <row r="52" spans="1:13" ht="45">
      <c r="A52" s="358">
        <v>48</v>
      </c>
      <c r="B52" s="361" t="s">
        <v>262</v>
      </c>
      <c r="C52" s="206" t="s">
        <v>188</v>
      </c>
      <c r="D52" s="360">
        <v>1</v>
      </c>
      <c r="E52" s="359">
        <f t="shared" si="1"/>
        <v>12</v>
      </c>
      <c r="F52" s="378">
        <f t="shared" si="14"/>
        <v>10.73</v>
      </c>
      <c r="G52" s="202">
        <f t="shared" si="7"/>
        <v>13.76</v>
      </c>
      <c r="H52" s="203">
        <f t="shared" si="8"/>
        <v>165.12</v>
      </c>
      <c r="J52" s="324">
        <v>10.73</v>
      </c>
      <c r="K52" s="324"/>
      <c r="L52" s="324"/>
      <c r="M52" s="188"/>
    </row>
    <row r="53" spans="1:13">
      <c r="A53" s="423">
        <v>49</v>
      </c>
      <c r="B53" s="361" t="s">
        <v>263</v>
      </c>
      <c r="C53" s="206" t="s">
        <v>156</v>
      </c>
      <c r="D53" s="360">
        <v>5</v>
      </c>
      <c r="E53" s="359">
        <f t="shared" si="1"/>
        <v>60</v>
      </c>
      <c r="F53" s="378">
        <f t="shared" si="14"/>
        <v>4.4000000000000004</v>
      </c>
      <c r="G53" s="202">
        <f t="shared" si="7"/>
        <v>5.64</v>
      </c>
      <c r="H53" s="203">
        <f t="shared" si="8"/>
        <v>338.4</v>
      </c>
      <c r="J53" s="324">
        <v>4.4000000000000004</v>
      </c>
      <c r="K53" s="324"/>
      <c r="L53" s="324"/>
      <c r="M53" s="188"/>
    </row>
    <row r="55" spans="1:13">
      <c r="A55" s="708" t="s">
        <v>346</v>
      </c>
      <c r="B55" s="709"/>
      <c r="C55" s="709"/>
      <c r="D55" s="709"/>
      <c r="E55" s="709"/>
      <c r="F55" s="709"/>
      <c r="G55" s="710"/>
      <c r="H55" s="209">
        <f>TRUNC(SUM(H5:H53),2)</f>
        <v>341381.94</v>
      </c>
    </row>
    <row r="56" spans="1:13">
      <c r="A56" s="210"/>
      <c r="B56" s="380"/>
      <c r="C56" s="210"/>
      <c r="D56" s="362"/>
      <c r="E56" s="362"/>
      <c r="F56" s="362"/>
      <c r="G56" s="212"/>
      <c r="H56" s="212"/>
    </row>
    <row r="57" spans="1:13">
      <c r="A57" s="711" t="s">
        <v>166</v>
      </c>
      <c r="B57" s="712"/>
      <c r="C57" s="712"/>
      <c r="D57" s="712"/>
      <c r="E57" s="712"/>
      <c r="F57" s="712"/>
      <c r="G57" s="713"/>
      <c r="H57" s="213">
        <f>TRUNC(H55/12,2)</f>
        <v>28448.49</v>
      </c>
    </row>
    <row r="59" spans="1:13">
      <c r="A59" s="715" t="s">
        <v>305</v>
      </c>
      <c r="B59" s="715"/>
      <c r="C59" s="715"/>
      <c r="D59" s="715"/>
      <c r="E59" s="715"/>
    </row>
    <row r="60" spans="1:13">
      <c r="A60" s="714" t="s">
        <v>70</v>
      </c>
      <c r="B60" s="714"/>
      <c r="C60" s="714"/>
      <c r="D60" s="714"/>
      <c r="E60" s="714"/>
    </row>
    <row r="61" spans="1:13">
      <c r="A61" s="11">
        <v>6</v>
      </c>
      <c r="B61" s="574" t="s">
        <v>70</v>
      </c>
      <c r="C61" s="574"/>
      <c r="D61" s="716" t="s">
        <v>86</v>
      </c>
      <c r="E61" s="716"/>
    </row>
    <row r="62" spans="1:13">
      <c r="A62" s="10" t="s">
        <v>3</v>
      </c>
      <c r="B62" s="575" t="s">
        <v>71</v>
      </c>
      <c r="C62" s="575"/>
      <c r="D62" s="703">
        <v>0.03</v>
      </c>
      <c r="E62" s="703"/>
    </row>
    <row r="63" spans="1:13">
      <c r="A63" s="10" t="s">
        <v>5</v>
      </c>
      <c r="B63" s="575" t="s">
        <v>72</v>
      </c>
      <c r="C63" s="575"/>
      <c r="D63" s="703">
        <v>6.7900000000000002E-2</v>
      </c>
      <c r="E63" s="703"/>
    </row>
    <row r="64" spans="1:13">
      <c r="A64" s="11" t="s">
        <v>8</v>
      </c>
      <c r="B64" s="701" t="s">
        <v>73</v>
      </c>
      <c r="C64" s="701"/>
      <c r="D64" s="706">
        <f>TRUNC(SUM(D65:D67),4)</f>
        <v>0.14249999999999999</v>
      </c>
      <c r="E64" s="706"/>
    </row>
    <row r="65" spans="1:5">
      <c r="A65" s="10"/>
      <c r="B65" s="575" t="s">
        <v>744</v>
      </c>
      <c r="C65" s="575"/>
      <c r="D65" s="703">
        <f>MC!$C$95</f>
        <v>1.6500000000000001E-2</v>
      </c>
      <c r="E65" s="703"/>
    </row>
    <row r="66" spans="1:5">
      <c r="A66" s="10"/>
      <c r="B66" s="575" t="s">
        <v>745</v>
      </c>
      <c r="C66" s="575"/>
      <c r="D66" s="703">
        <f>MC!$C$94</f>
        <v>7.5999999999999998E-2</v>
      </c>
      <c r="E66" s="703"/>
    </row>
    <row r="67" spans="1:5">
      <c r="A67" s="38"/>
      <c r="B67" s="575" t="s">
        <v>460</v>
      </c>
      <c r="C67" s="575"/>
      <c r="D67" s="703">
        <f>MC!C93</f>
        <v>0.05</v>
      </c>
      <c r="E67" s="703"/>
    </row>
    <row r="68" spans="1:5">
      <c r="A68" s="581" t="s">
        <v>75</v>
      </c>
      <c r="B68" s="581"/>
      <c r="C68" s="581"/>
      <c r="D68" s="702">
        <f>TRUNC((D62+D63+D64),4)</f>
        <v>0.2404</v>
      </c>
      <c r="E68" s="702"/>
    </row>
    <row r="69" spans="1:5">
      <c r="A69" s="704" t="s">
        <v>306</v>
      </c>
      <c r="B69" s="704"/>
      <c r="C69" s="704"/>
      <c r="D69" s="705">
        <f>TRUNC( (1+D62) * (1+D63) / (1-D64) -1,4)</f>
        <v>0.28270000000000001</v>
      </c>
      <c r="E69" s="705"/>
    </row>
    <row r="70" spans="1:5">
      <c r="A70" s="698" t="s">
        <v>557</v>
      </c>
      <c r="B70" s="699"/>
      <c r="C70" s="699"/>
      <c r="D70" s="699"/>
      <c r="E70" s="700"/>
    </row>
    <row r="71" spans="1:5">
      <c r="A71" s="697" t="s">
        <v>652</v>
      </c>
      <c r="B71" s="697"/>
      <c r="C71" s="697"/>
      <c r="D71" s="697"/>
      <c r="E71" s="697"/>
    </row>
  </sheetData>
  <mergeCells count="33">
    <mergeCell ref="A2:H2"/>
    <mergeCell ref="A3:A4"/>
    <mergeCell ref="B3:B4"/>
    <mergeCell ref="C3:C4"/>
    <mergeCell ref="D3:D4"/>
    <mergeCell ref="F3:F4"/>
    <mergeCell ref="H3:H4"/>
    <mergeCell ref="E3:E4"/>
    <mergeCell ref="J3:M3"/>
    <mergeCell ref="D63:E63"/>
    <mergeCell ref="D62:E62"/>
    <mergeCell ref="A55:G55"/>
    <mergeCell ref="A57:G57"/>
    <mergeCell ref="B61:C61"/>
    <mergeCell ref="B62:C62"/>
    <mergeCell ref="B63:C63"/>
    <mergeCell ref="A60:E60"/>
    <mergeCell ref="A59:E59"/>
    <mergeCell ref="D61:E61"/>
    <mergeCell ref="A71:E71"/>
    <mergeCell ref="A70:E70"/>
    <mergeCell ref="A68:C68"/>
    <mergeCell ref="B64:C64"/>
    <mergeCell ref="B65:C65"/>
    <mergeCell ref="B66:C66"/>
    <mergeCell ref="B67:C67"/>
    <mergeCell ref="D68:E68"/>
    <mergeCell ref="D67:E67"/>
    <mergeCell ref="D66:E66"/>
    <mergeCell ref="D65:E65"/>
    <mergeCell ref="A69:C69"/>
    <mergeCell ref="D69:E69"/>
    <mergeCell ref="D64:E64"/>
  </mergeCells>
  <pageMargins left="0.19685039370078741" right="0.19685039370078741" top="0.98425196850393704" bottom="0.78740157480314965" header="0.31496062992125984" footer="0.31496062992125984"/>
  <pageSetup paperSize="9" scale="5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84ACA"/>
    <pageSetUpPr fitToPage="1"/>
  </sheetPr>
  <dimension ref="A2:P42"/>
  <sheetViews>
    <sheetView topLeftCell="A20" zoomScale="115" zoomScaleNormal="115" zoomScaleSheetLayoutView="100" workbookViewId="0">
      <selection activeCell="A38" sqref="A38:C38"/>
    </sheetView>
  </sheetViews>
  <sheetFormatPr defaultRowHeight="15.75"/>
  <cols>
    <col min="1" max="1" width="5.7109375" style="85" customWidth="1"/>
    <col min="2" max="2" width="106.85546875" style="104" customWidth="1"/>
    <col min="3" max="3" width="15.7109375" style="85" customWidth="1"/>
    <col min="4" max="5" width="9.7109375" style="413" customWidth="1"/>
    <col min="6" max="7" width="15.7109375" style="85" customWidth="1"/>
    <col min="8" max="8" width="18.85546875" style="85" bestFit="1" customWidth="1"/>
    <col min="9" max="9" width="4" style="80" customWidth="1"/>
  </cols>
  <sheetData>
    <row r="2" spans="1:16" ht="21">
      <c r="A2" s="736" t="s">
        <v>185</v>
      </c>
      <c r="B2" s="736"/>
      <c r="C2" s="736"/>
      <c r="D2" s="736"/>
      <c r="E2" s="736"/>
      <c r="F2" s="736"/>
      <c r="G2" s="736"/>
      <c r="H2" s="736"/>
    </row>
    <row r="3" spans="1:16" ht="15">
      <c r="A3" s="737" t="s">
        <v>148</v>
      </c>
      <c r="B3" s="737" t="s">
        <v>168</v>
      </c>
      <c r="C3" s="737" t="s">
        <v>156</v>
      </c>
      <c r="D3" s="740" t="s">
        <v>275</v>
      </c>
      <c r="E3" s="740" t="s">
        <v>344</v>
      </c>
      <c r="F3" s="739" t="s">
        <v>174</v>
      </c>
      <c r="G3" s="150" t="s">
        <v>184</v>
      </c>
      <c r="H3" s="725" t="s">
        <v>169</v>
      </c>
      <c r="J3" s="188" t="s">
        <v>596</v>
      </c>
      <c r="K3" s="188"/>
      <c r="L3" s="188"/>
      <c r="M3" s="188"/>
    </row>
    <row r="4" spans="1:16" ht="45">
      <c r="A4" s="737"/>
      <c r="B4" s="737"/>
      <c r="C4" s="737"/>
      <c r="D4" s="740"/>
      <c r="E4" s="740"/>
      <c r="F4" s="739"/>
      <c r="G4" s="167">
        <f>D39</f>
        <v>0.28270000000000001</v>
      </c>
      <c r="H4" s="725"/>
      <c r="J4" s="376" t="s">
        <v>597</v>
      </c>
      <c r="K4" s="375"/>
      <c r="L4" s="375"/>
      <c r="M4" s="188"/>
    </row>
    <row r="5" spans="1:16">
      <c r="A5" s="105">
        <v>1</v>
      </c>
      <c r="B5" s="106" t="s">
        <v>264</v>
      </c>
      <c r="C5" s="122" t="s">
        <v>182</v>
      </c>
      <c r="D5" s="411">
        <v>35</v>
      </c>
      <c r="E5" s="411">
        <f>D5*12</f>
        <v>420</v>
      </c>
      <c r="F5" s="414">
        <f>J5</f>
        <v>17.91</v>
      </c>
      <c r="G5" s="123">
        <f>ROUND(($G$4*F5)+F5,2)</f>
        <v>22.97</v>
      </c>
      <c r="H5" s="168">
        <f>TRUNC(E5*G5,2)</f>
        <v>9647.4</v>
      </c>
      <c r="J5" s="324">
        <v>17.91</v>
      </c>
      <c r="K5" s="324"/>
      <c r="L5" s="324"/>
      <c r="M5" s="188"/>
    </row>
    <row r="6" spans="1:16">
      <c r="A6" s="100">
        <v>2</v>
      </c>
      <c r="B6" s="99" t="s">
        <v>628</v>
      </c>
      <c r="C6" s="120" t="s">
        <v>272</v>
      </c>
      <c r="D6" s="411">
        <v>10</v>
      </c>
      <c r="E6" s="411">
        <f t="shared" ref="E6:E15" si="0">D6*12</f>
        <v>120</v>
      </c>
      <c r="F6" s="414">
        <f t="shared" ref="F6:F10" si="1">J6</f>
        <v>4.91</v>
      </c>
      <c r="G6" s="123">
        <f t="shared" ref="G6:G23" si="2">ROUND(($G$4*F6)+F6,2)</f>
        <v>6.3</v>
      </c>
      <c r="H6" s="168">
        <f t="shared" ref="H6:H23" si="3">TRUNC(E6*G6,2)</f>
        <v>756</v>
      </c>
      <c r="J6" s="324">
        <v>4.91</v>
      </c>
      <c r="K6" s="324"/>
      <c r="L6" s="324"/>
      <c r="M6" s="188"/>
    </row>
    <row r="7" spans="1:16" ht="191.25" customHeight="1">
      <c r="A7" s="105">
        <v>3</v>
      </c>
      <c r="B7" s="415" t="s">
        <v>555</v>
      </c>
      <c r="C7" s="120" t="s">
        <v>182</v>
      </c>
      <c r="D7" s="411">
        <v>290</v>
      </c>
      <c r="E7" s="411">
        <f t="shared" si="0"/>
        <v>3480</v>
      </c>
      <c r="F7" s="414">
        <f>TRUNC(AVERAGE(J7:O7),2)</f>
        <v>23.41</v>
      </c>
      <c r="G7" s="123">
        <f t="shared" si="2"/>
        <v>30.03</v>
      </c>
      <c r="H7" s="168">
        <f t="shared" si="3"/>
        <v>104504.4</v>
      </c>
      <c r="J7" s="476"/>
      <c r="K7" s="476">
        <v>19.97</v>
      </c>
      <c r="L7" s="476">
        <v>19</v>
      </c>
      <c r="M7" s="476">
        <v>23.8</v>
      </c>
      <c r="N7" s="476">
        <v>25</v>
      </c>
      <c r="O7" s="478">
        <v>29.3</v>
      </c>
      <c r="P7" s="477" t="s">
        <v>728</v>
      </c>
    </row>
    <row r="8" spans="1:16" ht="108" customHeight="1">
      <c r="A8" s="100">
        <v>4</v>
      </c>
      <c r="B8" s="415" t="s">
        <v>556</v>
      </c>
      <c r="C8" s="120" t="s">
        <v>182</v>
      </c>
      <c r="D8" s="411">
        <v>15</v>
      </c>
      <c r="E8" s="411">
        <f t="shared" si="0"/>
        <v>180</v>
      </c>
      <c r="F8" s="414">
        <f>TRUNC(AVERAGE(J8:M8),2)</f>
        <v>23.46</v>
      </c>
      <c r="G8" s="123">
        <f t="shared" ref="G8" si="4">ROUND(($G$4*F8)+F8,2)</f>
        <v>30.09</v>
      </c>
      <c r="H8" s="168">
        <f t="shared" ref="H8" si="5">TRUNC(E8*G8,2)</f>
        <v>5416.2</v>
      </c>
      <c r="J8" s="476"/>
      <c r="K8" s="476">
        <v>18.29</v>
      </c>
      <c r="L8" s="476">
        <f>45.6/2</f>
        <v>22.8</v>
      </c>
      <c r="M8" s="479">
        <v>29.3</v>
      </c>
      <c r="O8" t="s">
        <v>729</v>
      </c>
    </row>
    <row r="9" spans="1:16" ht="38.25">
      <c r="A9" s="105">
        <v>5</v>
      </c>
      <c r="B9" s="99" t="s">
        <v>629</v>
      </c>
      <c r="C9" s="120" t="s">
        <v>183</v>
      </c>
      <c r="D9" s="411">
        <v>300</v>
      </c>
      <c r="E9" s="411">
        <f t="shared" si="0"/>
        <v>3600</v>
      </c>
      <c r="F9" s="414">
        <f t="shared" si="1"/>
        <v>3.87</v>
      </c>
      <c r="G9" s="123">
        <f t="shared" si="2"/>
        <v>4.96</v>
      </c>
      <c r="H9" s="168">
        <f t="shared" si="3"/>
        <v>17856</v>
      </c>
      <c r="J9" s="324">
        <v>3.87</v>
      </c>
      <c r="K9" s="324"/>
      <c r="L9" s="324"/>
      <c r="M9" s="188"/>
    </row>
    <row r="10" spans="1:16" ht="89.25">
      <c r="A10" s="100">
        <v>6</v>
      </c>
      <c r="B10" s="99" t="s">
        <v>630</v>
      </c>
      <c r="C10" s="120" t="s">
        <v>183</v>
      </c>
      <c r="D10" s="411">
        <v>15</v>
      </c>
      <c r="E10" s="411">
        <f t="shared" si="0"/>
        <v>180</v>
      </c>
      <c r="F10" s="414">
        <f t="shared" si="1"/>
        <v>96.32</v>
      </c>
      <c r="G10" s="123">
        <f t="shared" si="2"/>
        <v>123.55</v>
      </c>
      <c r="H10" s="168">
        <f t="shared" si="3"/>
        <v>22239</v>
      </c>
      <c r="J10" s="324">
        <v>96.32</v>
      </c>
      <c r="K10" s="324"/>
      <c r="L10" s="324"/>
      <c r="M10" s="188"/>
    </row>
    <row r="11" spans="1:16" ht="76.5">
      <c r="A11" s="105">
        <v>7</v>
      </c>
      <c r="B11" s="99" t="s">
        <v>265</v>
      </c>
      <c r="C11" s="120" t="s">
        <v>183</v>
      </c>
      <c r="D11" s="411">
        <v>5</v>
      </c>
      <c r="E11" s="411">
        <f t="shared" si="0"/>
        <v>60</v>
      </c>
      <c r="F11" s="416">
        <f>J11</f>
        <v>111</v>
      </c>
      <c r="G11" s="123">
        <f t="shared" si="2"/>
        <v>142.38</v>
      </c>
      <c r="H11" s="168">
        <f t="shared" si="3"/>
        <v>8542.7999999999993</v>
      </c>
      <c r="J11" s="324">
        <v>111</v>
      </c>
      <c r="K11" s="324"/>
      <c r="L11" s="324"/>
      <c r="M11" s="188"/>
    </row>
    <row r="12" spans="1:16" ht="35.25" customHeight="1">
      <c r="A12" s="100">
        <v>8</v>
      </c>
      <c r="B12" s="99" t="s">
        <v>637</v>
      </c>
      <c r="C12" s="120" t="s">
        <v>183</v>
      </c>
      <c r="D12" s="411">
        <v>15</v>
      </c>
      <c r="E12" s="411">
        <f t="shared" si="0"/>
        <v>180</v>
      </c>
      <c r="F12" s="416">
        <f>J12</f>
        <v>97</v>
      </c>
      <c r="G12" s="123">
        <f t="shared" ref="G12" si="6">ROUND(($G$4*F12)+F12,2)</f>
        <v>124.42</v>
      </c>
      <c r="H12" s="168">
        <f t="shared" ref="H12" si="7">TRUNC(E12*G12,2)</f>
        <v>22395.599999999999</v>
      </c>
      <c r="J12" s="324">
        <v>97</v>
      </c>
      <c r="K12" s="324"/>
      <c r="L12" s="324"/>
      <c r="M12" s="188"/>
    </row>
    <row r="13" spans="1:16" ht="38.25">
      <c r="A13" s="105">
        <v>9</v>
      </c>
      <c r="B13" s="99" t="s">
        <v>266</v>
      </c>
      <c r="C13" s="120" t="s">
        <v>156</v>
      </c>
      <c r="D13" s="411">
        <v>20</v>
      </c>
      <c r="E13" s="411">
        <f t="shared" si="0"/>
        <v>240</v>
      </c>
      <c r="F13" s="416">
        <f>J13</f>
        <v>5</v>
      </c>
      <c r="G13" s="123">
        <f t="shared" si="2"/>
        <v>6.41</v>
      </c>
      <c r="H13" s="168">
        <f t="shared" si="3"/>
        <v>1538.4</v>
      </c>
      <c r="J13" s="324">
        <v>5</v>
      </c>
      <c r="K13" s="324"/>
      <c r="L13" s="324"/>
      <c r="M13" s="188"/>
    </row>
    <row r="14" spans="1:16" ht="51">
      <c r="A14" s="100">
        <v>10</v>
      </c>
      <c r="B14" s="99" t="s">
        <v>267</v>
      </c>
      <c r="C14" s="120" t="s">
        <v>156</v>
      </c>
      <c r="D14" s="411">
        <v>4</v>
      </c>
      <c r="E14" s="411">
        <f t="shared" si="0"/>
        <v>48</v>
      </c>
      <c r="F14" s="416">
        <f t="shared" ref="F14:F17" si="8">J14</f>
        <v>1.37</v>
      </c>
      <c r="G14" s="123">
        <f t="shared" si="2"/>
        <v>1.76</v>
      </c>
      <c r="H14" s="168">
        <f t="shared" si="3"/>
        <v>84.48</v>
      </c>
      <c r="J14" s="324">
        <v>1.37</v>
      </c>
      <c r="K14" s="324"/>
      <c r="L14" s="324"/>
      <c r="M14" s="188"/>
    </row>
    <row r="15" spans="1:16" ht="51">
      <c r="A15" s="105">
        <v>11</v>
      </c>
      <c r="B15" s="99" t="s">
        <v>268</v>
      </c>
      <c r="C15" s="120" t="s">
        <v>156</v>
      </c>
      <c r="D15" s="411">
        <v>4</v>
      </c>
      <c r="E15" s="411">
        <f t="shared" si="0"/>
        <v>48</v>
      </c>
      <c r="F15" s="416">
        <f t="shared" si="8"/>
        <v>1.18</v>
      </c>
      <c r="G15" s="123">
        <f t="shared" si="2"/>
        <v>1.51</v>
      </c>
      <c r="H15" s="168">
        <f t="shared" si="3"/>
        <v>72.48</v>
      </c>
      <c r="J15" s="324">
        <v>1.18</v>
      </c>
      <c r="K15" s="324"/>
      <c r="L15" s="324"/>
      <c r="M15" s="188"/>
    </row>
    <row r="16" spans="1:16" ht="25.5">
      <c r="A16" s="100">
        <v>12</v>
      </c>
      <c r="B16" s="99" t="s">
        <v>631</v>
      </c>
      <c r="C16" s="120" t="s">
        <v>183</v>
      </c>
      <c r="D16" s="411">
        <v>8</v>
      </c>
      <c r="E16" s="411">
        <f t="shared" ref="E16:E23" si="9">D16*12</f>
        <v>96</v>
      </c>
      <c r="F16" s="416">
        <f t="shared" si="8"/>
        <v>6.54</v>
      </c>
      <c r="G16" s="123">
        <f t="shared" si="2"/>
        <v>8.39</v>
      </c>
      <c r="H16" s="168">
        <f t="shared" si="3"/>
        <v>805.44</v>
      </c>
      <c r="J16" s="324">
        <v>6.54</v>
      </c>
      <c r="K16" s="324"/>
      <c r="L16" s="324"/>
      <c r="M16" s="188"/>
    </row>
    <row r="17" spans="1:13" ht="38.25">
      <c r="A17" s="105">
        <v>13</v>
      </c>
      <c r="B17" s="99" t="s">
        <v>269</v>
      </c>
      <c r="C17" s="120" t="s">
        <v>156</v>
      </c>
      <c r="D17" s="411">
        <v>6</v>
      </c>
      <c r="E17" s="411">
        <f t="shared" si="9"/>
        <v>72</v>
      </c>
      <c r="F17" s="416">
        <f t="shared" si="8"/>
        <v>8.25</v>
      </c>
      <c r="G17" s="123">
        <f t="shared" si="2"/>
        <v>10.58</v>
      </c>
      <c r="H17" s="168">
        <f t="shared" si="3"/>
        <v>761.76</v>
      </c>
      <c r="J17" s="324">
        <v>8.25</v>
      </c>
      <c r="K17" s="324"/>
      <c r="L17" s="324"/>
      <c r="M17" s="188"/>
    </row>
    <row r="18" spans="1:13" ht="51">
      <c r="A18" s="100">
        <v>14</v>
      </c>
      <c r="B18" s="99" t="s">
        <v>633</v>
      </c>
      <c r="C18" s="120" t="s">
        <v>156</v>
      </c>
      <c r="D18" s="411">
        <v>3</v>
      </c>
      <c r="E18" s="411">
        <f t="shared" si="9"/>
        <v>36</v>
      </c>
      <c r="F18" s="416">
        <f>J18</f>
        <v>76</v>
      </c>
      <c r="G18" s="123">
        <f t="shared" si="2"/>
        <v>97.49</v>
      </c>
      <c r="H18" s="168">
        <f t="shared" si="3"/>
        <v>3509.64</v>
      </c>
      <c r="J18" s="324">
        <v>76</v>
      </c>
      <c r="K18" s="324"/>
      <c r="L18" s="324"/>
      <c r="M18" s="188"/>
    </row>
    <row r="19" spans="1:13" ht="51">
      <c r="A19" s="105">
        <v>15</v>
      </c>
      <c r="B19" s="99" t="s">
        <v>632</v>
      </c>
      <c r="C19" s="120" t="s">
        <v>156</v>
      </c>
      <c r="D19" s="411">
        <v>1</v>
      </c>
      <c r="E19" s="411">
        <f t="shared" ref="E19" si="10">D19*12</f>
        <v>12</v>
      </c>
      <c r="F19" s="416">
        <f>J19</f>
        <v>64.98</v>
      </c>
      <c r="G19" s="123">
        <f t="shared" ref="G19" si="11">ROUND(($G$4*F19)+F19,2)</f>
        <v>83.35</v>
      </c>
      <c r="H19" s="168">
        <f t="shared" ref="H19" si="12">TRUNC(E19*G19,2)</f>
        <v>1000.2</v>
      </c>
      <c r="J19" s="324">
        <v>64.98</v>
      </c>
      <c r="K19" s="324"/>
      <c r="L19" s="324"/>
      <c r="M19" s="188"/>
    </row>
    <row r="20" spans="1:13" ht="42" customHeight="1">
      <c r="A20" s="100">
        <v>16</v>
      </c>
      <c r="B20" s="99" t="s">
        <v>270</v>
      </c>
      <c r="C20" s="120" t="s">
        <v>156</v>
      </c>
      <c r="D20" s="411">
        <v>4</v>
      </c>
      <c r="E20" s="411">
        <f t="shared" si="9"/>
        <v>48</v>
      </c>
      <c r="F20" s="416">
        <f t="shared" ref="F20:F24" si="13">J20</f>
        <v>2.69</v>
      </c>
      <c r="G20" s="123">
        <f t="shared" si="2"/>
        <v>3.45</v>
      </c>
      <c r="H20" s="168">
        <f t="shared" si="3"/>
        <v>165.6</v>
      </c>
      <c r="J20" s="324">
        <v>2.69</v>
      </c>
      <c r="K20" s="324"/>
      <c r="L20" s="324"/>
      <c r="M20" s="188"/>
    </row>
    <row r="21" spans="1:13" ht="51">
      <c r="A21" s="105">
        <v>17</v>
      </c>
      <c r="B21" s="99" t="s">
        <v>271</v>
      </c>
      <c r="C21" s="120" t="s">
        <v>156</v>
      </c>
      <c r="D21" s="411">
        <v>6</v>
      </c>
      <c r="E21" s="411">
        <f t="shared" si="9"/>
        <v>72</v>
      </c>
      <c r="F21" s="416">
        <f t="shared" si="13"/>
        <v>15.6</v>
      </c>
      <c r="G21" s="123">
        <f t="shared" si="2"/>
        <v>20.010000000000002</v>
      </c>
      <c r="H21" s="168">
        <f t="shared" si="3"/>
        <v>1440.72</v>
      </c>
      <c r="J21" s="324">
        <v>15.6</v>
      </c>
      <c r="K21" s="324"/>
      <c r="L21" s="324"/>
      <c r="M21" s="188"/>
    </row>
    <row r="22" spans="1:13" ht="51">
      <c r="A22" s="100">
        <v>18</v>
      </c>
      <c r="B22" s="99" t="s">
        <v>635</v>
      </c>
      <c r="C22" s="120" t="s">
        <v>156</v>
      </c>
      <c r="D22" s="411">
        <v>18</v>
      </c>
      <c r="E22" s="411">
        <f t="shared" si="9"/>
        <v>216</v>
      </c>
      <c r="F22" s="416">
        <f t="shared" si="13"/>
        <v>12.5</v>
      </c>
      <c r="G22" s="123">
        <f t="shared" si="2"/>
        <v>16.03</v>
      </c>
      <c r="H22" s="168">
        <f t="shared" si="3"/>
        <v>3462.48</v>
      </c>
      <c r="J22" s="324">
        <v>12.5</v>
      </c>
      <c r="K22" s="324"/>
      <c r="L22" s="324"/>
      <c r="M22" s="188"/>
    </row>
    <row r="23" spans="1:13" ht="51">
      <c r="A23" s="105">
        <v>19</v>
      </c>
      <c r="B23" s="99" t="s">
        <v>636</v>
      </c>
      <c r="C23" s="120" t="s">
        <v>156</v>
      </c>
      <c r="D23" s="411">
        <v>1</v>
      </c>
      <c r="E23" s="411">
        <f t="shared" si="9"/>
        <v>12</v>
      </c>
      <c r="F23" s="416">
        <f t="shared" si="13"/>
        <v>126.72</v>
      </c>
      <c r="G23" s="123">
        <f t="shared" si="2"/>
        <v>162.54</v>
      </c>
      <c r="H23" s="168">
        <f t="shared" si="3"/>
        <v>1950.48</v>
      </c>
      <c r="J23" s="324">
        <v>126.72</v>
      </c>
      <c r="K23" s="324"/>
      <c r="L23" s="324"/>
      <c r="M23" s="188"/>
    </row>
    <row r="24" spans="1:13" ht="32.25" customHeight="1">
      <c r="A24" s="100">
        <v>20</v>
      </c>
      <c r="B24" s="99" t="s">
        <v>634</v>
      </c>
      <c r="C24" s="120" t="s">
        <v>156</v>
      </c>
      <c r="D24" s="411">
        <v>1</v>
      </c>
      <c r="E24" s="411">
        <f t="shared" ref="E24" si="14">D24*12</f>
        <v>12</v>
      </c>
      <c r="F24" s="416">
        <f t="shared" si="13"/>
        <v>17</v>
      </c>
      <c r="G24" s="123">
        <f t="shared" ref="G24" si="15">ROUND(($G$4*F24)+F24,2)</f>
        <v>21.81</v>
      </c>
      <c r="H24" s="168">
        <f t="shared" ref="H24" si="16">TRUNC(E24*G24,2)</f>
        <v>261.72000000000003</v>
      </c>
      <c r="J24" s="324">
        <v>17</v>
      </c>
      <c r="K24" s="324"/>
      <c r="L24" s="324"/>
      <c r="M24" s="188"/>
    </row>
    <row r="25" spans="1:13" ht="15.75" customHeight="1">
      <c r="A25" s="730" t="s">
        <v>346</v>
      </c>
      <c r="B25" s="731"/>
      <c r="C25" s="731"/>
      <c r="D25" s="731"/>
      <c r="E25" s="731"/>
      <c r="F25" s="731"/>
      <c r="G25" s="732"/>
      <c r="H25" s="125">
        <f>TRUNC(SUM(H5:H24),2)</f>
        <v>206410.8</v>
      </c>
    </row>
    <row r="26" spans="1:13">
      <c r="A26" s="101"/>
      <c r="B26" s="103"/>
      <c r="C26" s="101"/>
      <c r="D26" s="412"/>
      <c r="E26" s="412"/>
      <c r="F26" s="102"/>
      <c r="G26" s="102"/>
      <c r="H26" s="102"/>
    </row>
    <row r="27" spans="1:13">
      <c r="A27" s="733" t="s">
        <v>166</v>
      </c>
      <c r="B27" s="734"/>
      <c r="C27" s="734"/>
      <c r="D27" s="734"/>
      <c r="E27" s="734"/>
      <c r="F27" s="734"/>
      <c r="G27" s="735"/>
      <c r="H27" s="126">
        <f>TRUNC(H25/12,2)</f>
        <v>17200.900000000001</v>
      </c>
    </row>
    <row r="29" spans="1:13">
      <c r="A29" s="715" t="s">
        <v>305</v>
      </c>
      <c r="B29" s="715"/>
      <c r="C29" s="715"/>
      <c r="D29" s="715"/>
      <c r="E29" s="715"/>
    </row>
    <row r="30" spans="1:13">
      <c r="A30" s="714" t="s">
        <v>70</v>
      </c>
      <c r="B30" s="714"/>
      <c r="C30" s="714"/>
      <c r="D30" s="714"/>
      <c r="E30" s="714"/>
    </row>
    <row r="31" spans="1:13">
      <c r="A31" s="11">
        <v>6</v>
      </c>
      <c r="B31" s="574" t="s">
        <v>70</v>
      </c>
      <c r="C31" s="574"/>
      <c r="D31" s="581" t="s">
        <v>86</v>
      </c>
      <c r="E31" s="581"/>
    </row>
    <row r="32" spans="1:13">
      <c r="A32" s="10" t="s">
        <v>3</v>
      </c>
      <c r="B32" s="575" t="s">
        <v>71</v>
      </c>
      <c r="C32" s="575"/>
      <c r="D32" s="728">
        <v>0.03</v>
      </c>
      <c r="E32" s="728"/>
    </row>
    <row r="33" spans="1:8">
      <c r="A33" s="10" t="s">
        <v>5</v>
      </c>
      <c r="B33" s="575" t="s">
        <v>72</v>
      </c>
      <c r="C33" s="575"/>
      <c r="D33" s="728">
        <v>6.7900000000000002E-2</v>
      </c>
      <c r="E33" s="728"/>
    </row>
    <row r="34" spans="1:8">
      <c r="A34" s="11" t="s">
        <v>8</v>
      </c>
      <c r="B34" s="701" t="s">
        <v>73</v>
      </c>
      <c r="C34" s="701"/>
      <c r="D34" s="729">
        <f>TRUNC(SUM(D35:D37),4)</f>
        <v>0.14249999999999999</v>
      </c>
      <c r="E34" s="729"/>
    </row>
    <row r="35" spans="1:8">
      <c r="A35" s="10"/>
      <c r="B35" s="575" t="s">
        <v>458</v>
      </c>
      <c r="C35" s="575"/>
      <c r="D35" s="728">
        <f>MC!$C$95</f>
        <v>1.6500000000000001E-2</v>
      </c>
      <c r="E35" s="728"/>
    </row>
    <row r="36" spans="1:8">
      <c r="A36" s="10"/>
      <c r="B36" s="575" t="s">
        <v>459</v>
      </c>
      <c r="C36" s="575"/>
      <c r="D36" s="728">
        <f>MC!$C$94</f>
        <v>7.5999999999999998E-2</v>
      </c>
      <c r="E36" s="728"/>
    </row>
    <row r="37" spans="1:8">
      <c r="A37" s="38"/>
      <c r="B37" s="575" t="s">
        <v>460</v>
      </c>
      <c r="C37" s="575"/>
      <c r="D37" s="728">
        <f>MC!C93</f>
        <v>0.05</v>
      </c>
      <c r="E37" s="728"/>
    </row>
    <row r="38" spans="1:8">
      <c r="A38" s="581" t="s">
        <v>75</v>
      </c>
      <c r="B38" s="581"/>
      <c r="C38" s="581"/>
      <c r="D38" s="726">
        <f>TRUNC((D32+D33+D34),4)</f>
        <v>0.2404</v>
      </c>
      <c r="E38" s="726"/>
    </row>
    <row r="39" spans="1:8">
      <c r="A39" s="704" t="s">
        <v>306</v>
      </c>
      <c r="B39" s="704"/>
      <c r="C39" s="704"/>
      <c r="D39" s="727">
        <f>TRUNC( (1+D32) * (1+D33) / (1-D34) -1,4)</f>
        <v>0.28270000000000001</v>
      </c>
      <c r="E39" s="727"/>
    </row>
    <row r="40" spans="1:8">
      <c r="A40" s="698" t="s">
        <v>557</v>
      </c>
      <c r="B40" s="699"/>
      <c r="C40" s="699"/>
      <c r="D40" s="699"/>
      <c r="E40" s="700"/>
    </row>
    <row r="42" spans="1:8" ht="15.75" customHeight="1">
      <c r="A42" s="658"/>
      <c r="B42" s="658"/>
      <c r="C42" s="658"/>
      <c r="D42" s="658"/>
      <c r="E42" s="658"/>
      <c r="F42" s="658"/>
      <c r="G42" s="658"/>
      <c r="H42" s="658"/>
    </row>
  </sheetData>
  <mergeCells count="32">
    <mergeCell ref="B35:C35"/>
    <mergeCell ref="B36:C36"/>
    <mergeCell ref="B37:C37"/>
    <mergeCell ref="B32:C32"/>
    <mergeCell ref="A2:H2"/>
    <mergeCell ref="A3:A4"/>
    <mergeCell ref="B3:B4"/>
    <mergeCell ref="C3:C4"/>
    <mergeCell ref="D3:D4"/>
    <mergeCell ref="F3:F4"/>
    <mergeCell ref="H3:H4"/>
    <mergeCell ref="D31:E31"/>
    <mergeCell ref="A30:E30"/>
    <mergeCell ref="A29:E29"/>
    <mergeCell ref="B33:C33"/>
    <mergeCell ref="B34:C34"/>
    <mergeCell ref="A42:H42"/>
    <mergeCell ref="E3:E4"/>
    <mergeCell ref="D39:E39"/>
    <mergeCell ref="D38:E38"/>
    <mergeCell ref="D37:E37"/>
    <mergeCell ref="D36:E36"/>
    <mergeCell ref="D35:E35"/>
    <mergeCell ref="D34:E34"/>
    <mergeCell ref="D33:E33"/>
    <mergeCell ref="D32:E32"/>
    <mergeCell ref="A39:C39"/>
    <mergeCell ref="A40:E40"/>
    <mergeCell ref="A38:C38"/>
    <mergeCell ref="A25:G25"/>
    <mergeCell ref="A27:G27"/>
    <mergeCell ref="B31:C31"/>
  </mergeCells>
  <pageMargins left="0.19685039370078741" right="0.19685039370078741" top="0.98425196850393704" bottom="0.78740157480314965" header="0.31496062992125984" footer="0.31496062992125984"/>
  <pageSetup paperSize="9" scale="4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DFDC-0A4E-4758-9484-7407D1D869B6}">
  <sheetPr>
    <tabColor rgb="FFF84ACA"/>
    <pageSetUpPr fitToPage="1"/>
  </sheetPr>
  <dimension ref="A2:M29"/>
  <sheetViews>
    <sheetView topLeftCell="B9" zoomScale="115" zoomScaleNormal="115" zoomScaleSheetLayoutView="130" workbookViewId="0">
      <selection activeCell="A29" sqref="A29:E29"/>
    </sheetView>
  </sheetViews>
  <sheetFormatPr defaultRowHeight="15.75"/>
  <cols>
    <col min="1" max="1" width="5.7109375" style="85" customWidth="1"/>
    <col min="2" max="2" width="89.5703125" style="104" customWidth="1"/>
    <col min="3" max="3" width="15.7109375" style="85" customWidth="1"/>
    <col min="4" max="5" width="9.7109375" style="85" customWidth="1"/>
    <col min="6" max="7" width="15.7109375" style="85" customWidth="1"/>
    <col min="8" max="8" width="18.85546875" style="85" bestFit="1" customWidth="1"/>
    <col min="9" max="9" width="4" style="80" customWidth="1"/>
  </cols>
  <sheetData>
    <row r="2" spans="1:13" ht="21">
      <c r="A2" s="736" t="s">
        <v>185</v>
      </c>
      <c r="B2" s="736"/>
      <c r="C2" s="736"/>
      <c r="D2" s="736"/>
      <c r="E2" s="736"/>
      <c r="F2" s="736"/>
      <c r="G2" s="736"/>
      <c r="H2" s="736"/>
    </row>
    <row r="3" spans="1:13" ht="15">
      <c r="A3" s="737" t="s">
        <v>148</v>
      </c>
      <c r="B3" s="737" t="s">
        <v>168</v>
      </c>
      <c r="C3" s="737" t="s">
        <v>156</v>
      </c>
      <c r="D3" s="738" t="s">
        <v>275</v>
      </c>
      <c r="E3" s="738" t="s">
        <v>344</v>
      </c>
      <c r="F3" s="739" t="s">
        <v>174</v>
      </c>
      <c r="G3" s="150" t="s">
        <v>184</v>
      </c>
      <c r="H3" s="725" t="s">
        <v>169</v>
      </c>
      <c r="J3" s="188" t="s">
        <v>596</v>
      </c>
      <c r="K3" s="188"/>
      <c r="L3" s="188"/>
      <c r="M3" s="188"/>
    </row>
    <row r="4" spans="1:13" ht="45">
      <c r="A4" s="737"/>
      <c r="B4" s="737"/>
      <c r="C4" s="737"/>
      <c r="D4" s="738"/>
      <c r="E4" s="738"/>
      <c r="F4" s="739"/>
      <c r="G4" s="167">
        <f>D27</f>
        <v>0.28270000000000001</v>
      </c>
      <c r="H4" s="725"/>
      <c r="J4" s="376" t="s">
        <v>597</v>
      </c>
      <c r="K4" s="375"/>
      <c r="L4" s="375"/>
      <c r="M4" s="188"/>
    </row>
    <row r="5" spans="1:13" ht="25.5">
      <c r="A5" s="100">
        <v>1</v>
      </c>
      <c r="B5" s="99" t="s">
        <v>639</v>
      </c>
      <c r="C5" s="120" t="s">
        <v>278</v>
      </c>
      <c r="D5" s="418">
        <v>2</v>
      </c>
      <c r="E5" s="419">
        <f>TRUNC(D5*12,2)</f>
        <v>24</v>
      </c>
      <c r="F5" s="416">
        <f>J5</f>
        <v>23.36</v>
      </c>
      <c r="G5" s="123">
        <f>ROUND(('Mat. Limp.'!$G$4*F5)+F5,2)</f>
        <v>29.96</v>
      </c>
      <c r="H5" s="168">
        <f>TRUNC(E5*G5,2)</f>
        <v>719.04</v>
      </c>
      <c r="I5"/>
      <c r="J5" s="324">
        <v>23.36</v>
      </c>
      <c r="K5" s="324"/>
      <c r="L5" s="324"/>
      <c r="M5" s="324"/>
    </row>
    <row r="6" spans="1:13" ht="38.25">
      <c r="A6" s="100">
        <v>2</v>
      </c>
      <c r="B6" s="420" t="s">
        <v>643</v>
      </c>
      <c r="C6" s="120" t="s">
        <v>156</v>
      </c>
      <c r="D6" s="418">
        <v>15</v>
      </c>
      <c r="E6" s="419">
        <f t="shared" ref="E6" si="0">TRUNC(D6*12,2)</f>
        <v>180</v>
      </c>
      <c r="F6" s="416">
        <f>J6</f>
        <v>2.5</v>
      </c>
      <c r="G6" s="123">
        <f>ROUND(('Mat. Limp.'!$G$4*F6)+F6,2)</f>
        <v>3.21</v>
      </c>
      <c r="H6" s="421">
        <f>TRUNC(E6*G6,2)</f>
        <v>577.79999999999995</v>
      </c>
      <c r="I6"/>
      <c r="J6" s="324">
        <v>2.5</v>
      </c>
      <c r="K6" s="324" t="s">
        <v>640</v>
      </c>
      <c r="L6" s="324"/>
      <c r="M6" s="324"/>
    </row>
    <row r="7" spans="1:13" ht="25.5">
      <c r="A7" s="100">
        <v>3</v>
      </c>
      <c r="B7" s="420" t="s">
        <v>644</v>
      </c>
      <c r="C7" s="120" t="s">
        <v>156</v>
      </c>
      <c r="D7" s="418"/>
      <c r="E7" s="422">
        <v>5</v>
      </c>
      <c r="F7" s="416">
        <f t="shared" ref="F7:F10" si="1">J7</f>
        <v>107.75</v>
      </c>
      <c r="G7" s="123">
        <f>ROUND(('Mat. Limp.'!$G$4*F7)+F7,2)</f>
        <v>138.21</v>
      </c>
      <c r="H7" s="421">
        <f t="shared" ref="H7:H10" si="2">TRUNC(E7*G7,2)</f>
        <v>691.05</v>
      </c>
      <c r="I7"/>
      <c r="J7" s="324">
        <v>107.75</v>
      </c>
      <c r="K7" s="324" t="s">
        <v>640</v>
      </c>
      <c r="L7" s="324"/>
      <c r="M7" s="324"/>
    </row>
    <row r="8" spans="1:13" ht="38.25">
      <c r="A8" s="100">
        <v>4</v>
      </c>
      <c r="B8" s="420" t="s">
        <v>645</v>
      </c>
      <c r="C8" s="120" t="s">
        <v>156</v>
      </c>
      <c r="D8" s="418">
        <v>1</v>
      </c>
      <c r="E8" s="422">
        <f>D8*12</f>
        <v>12</v>
      </c>
      <c r="F8" s="416">
        <f t="shared" si="1"/>
        <v>53.16</v>
      </c>
      <c r="G8" s="123">
        <f>ROUND(('Mat. Limp.'!$G$4*F8)+F8,2)</f>
        <v>68.19</v>
      </c>
      <c r="H8" s="421">
        <f t="shared" si="2"/>
        <v>818.28</v>
      </c>
      <c r="I8"/>
      <c r="J8" s="324">
        <v>53.16</v>
      </c>
      <c r="K8" s="324" t="s">
        <v>640</v>
      </c>
      <c r="L8" s="324"/>
      <c r="M8" s="324"/>
    </row>
    <row r="9" spans="1:13" ht="38.25">
      <c r="A9" s="100">
        <v>5</v>
      </c>
      <c r="B9" s="420" t="s">
        <v>646</v>
      </c>
      <c r="C9" s="120" t="s">
        <v>156</v>
      </c>
      <c r="D9" s="418">
        <v>2</v>
      </c>
      <c r="E9" s="422">
        <f>D9*12</f>
        <v>24</v>
      </c>
      <c r="F9" s="416">
        <f t="shared" si="1"/>
        <v>71.83</v>
      </c>
      <c r="G9" s="123">
        <f>ROUND(('Mat. Limp.'!$G$4*F9)+F9,2)</f>
        <v>92.14</v>
      </c>
      <c r="H9" s="421">
        <f t="shared" si="2"/>
        <v>2211.36</v>
      </c>
      <c r="I9"/>
      <c r="J9" s="324">
        <v>71.83</v>
      </c>
      <c r="K9" s="324" t="s">
        <v>640</v>
      </c>
      <c r="L9" s="324"/>
      <c r="M9" s="324"/>
    </row>
    <row r="10" spans="1:13" ht="25.5">
      <c r="A10" s="100">
        <v>6</v>
      </c>
      <c r="B10" s="420" t="s">
        <v>647</v>
      </c>
      <c r="C10" s="120" t="s">
        <v>156</v>
      </c>
      <c r="D10" s="418">
        <v>3</v>
      </c>
      <c r="E10" s="422">
        <f t="shared" ref="E10" si="3">D10*12</f>
        <v>36</v>
      </c>
      <c r="F10" s="416">
        <f t="shared" si="1"/>
        <v>44.54</v>
      </c>
      <c r="G10" s="123">
        <f>ROUND(('Mat. Limp.'!$G$4*F10)+F10,2)</f>
        <v>57.13</v>
      </c>
      <c r="H10" s="421">
        <f t="shared" si="2"/>
        <v>2056.6799999999998</v>
      </c>
      <c r="I10"/>
      <c r="J10" s="324">
        <v>44.54</v>
      </c>
      <c r="K10" s="324" t="s">
        <v>640</v>
      </c>
      <c r="L10" s="324"/>
      <c r="M10" s="324"/>
    </row>
    <row r="11" spans="1:13" ht="38.25">
      <c r="A11" s="100">
        <v>7</v>
      </c>
      <c r="B11" s="99" t="s">
        <v>236</v>
      </c>
      <c r="C11" s="120" t="s">
        <v>156</v>
      </c>
      <c r="D11" s="350"/>
      <c r="E11" s="419">
        <v>3</v>
      </c>
      <c r="F11" s="416">
        <f>J11</f>
        <v>306</v>
      </c>
      <c r="G11" s="123">
        <f>ROUND(('Mat. Limp.'!$G$4*F11)+F11,2)</f>
        <v>392.51</v>
      </c>
      <c r="H11" s="168">
        <f t="shared" ref="H11" si="4">TRUNC(E11*G11,2)</f>
        <v>1177.53</v>
      </c>
      <c r="J11" s="324">
        <f>17*18</f>
        <v>306</v>
      </c>
      <c r="K11" s="324"/>
      <c r="L11" s="324"/>
      <c r="M11" s="324"/>
    </row>
    <row r="12" spans="1:13" ht="25.5">
      <c r="A12" s="100">
        <v>8</v>
      </c>
      <c r="B12" s="99" t="s">
        <v>641</v>
      </c>
      <c r="C12" s="120" t="s">
        <v>642</v>
      </c>
      <c r="D12" s="121">
        <v>10</v>
      </c>
      <c r="E12" s="121">
        <f>D12*12</f>
        <v>120</v>
      </c>
      <c r="F12" s="124">
        <f>J12</f>
        <v>1.33</v>
      </c>
      <c r="G12" s="123">
        <f>ROUND(('Mat. Limp.'!$G$4*F12)+F12,2)</f>
        <v>1.71</v>
      </c>
      <c r="H12" s="168">
        <f>TRUNC(E12*G12,2)</f>
        <v>205.2</v>
      </c>
      <c r="J12" s="324">
        <v>1.33</v>
      </c>
      <c r="K12" s="324"/>
      <c r="L12" s="324"/>
      <c r="M12" s="324"/>
    </row>
    <row r="13" spans="1:13" ht="15.75" customHeight="1">
      <c r="A13" s="730" t="s">
        <v>346</v>
      </c>
      <c r="B13" s="731"/>
      <c r="C13" s="731"/>
      <c r="D13" s="731"/>
      <c r="E13" s="731"/>
      <c r="F13" s="731"/>
      <c r="G13" s="732"/>
      <c r="H13" s="125">
        <f>ROUND(SUM(H5:H12),2)</f>
        <v>8456.94</v>
      </c>
    </row>
    <row r="14" spans="1:13" ht="9.75" customHeight="1">
      <c r="A14" s="101"/>
      <c r="B14" s="103"/>
      <c r="C14" s="101"/>
      <c r="D14" s="102"/>
      <c r="E14" s="102"/>
      <c r="F14" s="102"/>
      <c r="G14" s="102"/>
      <c r="H14" s="102"/>
    </row>
    <row r="15" spans="1:13">
      <c r="A15" s="733" t="s">
        <v>166</v>
      </c>
      <c r="B15" s="734"/>
      <c r="C15" s="734"/>
      <c r="D15" s="734"/>
      <c r="E15" s="734"/>
      <c r="F15" s="734"/>
      <c r="G15" s="735"/>
      <c r="H15" s="126">
        <f>ROUND(H13/12,2)</f>
        <v>704.75</v>
      </c>
    </row>
    <row r="17" spans="1:5">
      <c r="A17" s="715" t="s">
        <v>305</v>
      </c>
      <c r="B17" s="715"/>
      <c r="C17" s="715"/>
      <c r="D17" s="715"/>
      <c r="E17" s="715"/>
    </row>
    <row r="18" spans="1:5">
      <c r="A18" s="714" t="s">
        <v>70</v>
      </c>
      <c r="B18" s="714"/>
      <c r="C18" s="714"/>
      <c r="D18" s="714"/>
      <c r="E18" s="714"/>
    </row>
    <row r="19" spans="1:5">
      <c r="A19" s="11">
        <v>6</v>
      </c>
      <c r="B19" s="574" t="s">
        <v>70</v>
      </c>
      <c r="C19" s="574"/>
      <c r="D19" s="581" t="s">
        <v>86</v>
      </c>
      <c r="E19" s="581"/>
    </row>
    <row r="20" spans="1:5">
      <c r="A20" s="10" t="s">
        <v>3</v>
      </c>
      <c r="B20" s="575" t="s">
        <v>71</v>
      </c>
      <c r="C20" s="575"/>
      <c r="D20" s="728">
        <v>0.03</v>
      </c>
      <c r="E20" s="728"/>
    </row>
    <row r="21" spans="1:5">
      <c r="A21" s="10" t="s">
        <v>5</v>
      </c>
      <c r="B21" s="575" t="s">
        <v>72</v>
      </c>
      <c r="C21" s="575"/>
      <c r="D21" s="728">
        <v>6.7900000000000002E-2</v>
      </c>
      <c r="E21" s="728"/>
    </row>
    <row r="22" spans="1:5">
      <c r="A22" s="11" t="s">
        <v>8</v>
      </c>
      <c r="B22" s="701" t="s">
        <v>73</v>
      </c>
      <c r="C22" s="701"/>
      <c r="D22" s="729">
        <f>TRUNC(SUM(D23:D25),4)</f>
        <v>0.14249999999999999</v>
      </c>
      <c r="E22" s="729"/>
    </row>
    <row r="23" spans="1:5">
      <c r="A23" s="10"/>
      <c r="B23" s="575" t="s">
        <v>458</v>
      </c>
      <c r="C23" s="575"/>
      <c r="D23" s="728">
        <f>MC!$C$95</f>
        <v>1.6500000000000001E-2</v>
      </c>
      <c r="E23" s="728"/>
    </row>
    <row r="24" spans="1:5">
      <c r="A24" s="10"/>
      <c r="B24" s="575" t="s">
        <v>459</v>
      </c>
      <c r="C24" s="575"/>
      <c r="D24" s="728">
        <f>MC!$C$94</f>
        <v>7.5999999999999998E-2</v>
      </c>
      <c r="E24" s="728"/>
    </row>
    <row r="25" spans="1:5">
      <c r="A25" s="38"/>
      <c r="B25" s="575" t="s">
        <v>460</v>
      </c>
      <c r="C25" s="575"/>
      <c r="D25" s="728">
        <f>MC!C93</f>
        <v>0.05</v>
      </c>
      <c r="E25" s="728"/>
    </row>
    <row r="26" spans="1:5">
      <c r="A26" s="581" t="s">
        <v>75</v>
      </c>
      <c r="B26" s="581"/>
      <c r="C26" s="581"/>
      <c r="D26" s="726">
        <f>TRUNC((D20+D21+D22),4)</f>
        <v>0.2404</v>
      </c>
      <c r="E26" s="726"/>
    </row>
    <row r="27" spans="1:5">
      <c r="A27" s="704" t="s">
        <v>306</v>
      </c>
      <c r="B27" s="704"/>
      <c r="C27" s="704"/>
      <c r="D27" s="727">
        <f>TRUNC( (1+D20) * (1+D21) / (1-D22) -1,4)</f>
        <v>0.28270000000000001</v>
      </c>
      <c r="E27" s="727"/>
    </row>
    <row r="28" spans="1:5">
      <c r="A28" s="698" t="s">
        <v>557</v>
      </c>
      <c r="B28" s="699"/>
      <c r="C28" s="699"/>
      <c r="D28" s="699"/>
      <c r="E28" s="700"/>
    </row>
    <row r="29" spans="1:5">
      <c r="A29" s="697"/>
      <c r="B29" s="697"/>
      <c r="C29" s="697"/>
      <c r="D29" s="697"/>
      <c r="E29" s="697"/>
    </row>
  </sheetData>
  <mergeCells count="32">
    <mergeCell ref="A2:H2"/>
    <mergeCell ref="A3:A4"/>
    <mergeCell ref="B3:B4"/>
    <mergeCell ref="C3:C4"/>
    <mergeCell ref="D3:D4"/>
    <mergeCell ref="E3:E4"/>
    <mergeCell ref="F3:F4"/>
    <mergeCell ref="H3:H4"/>
    <mergeCell ref="A13:G13"/>
    <mergeCell ref="A15:G15"/>
    <mergeCell ref="A17:E17"/>
    <mergeCell ref="A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A29:E29"/>
    <mergeCell ref="A26:C26"/>
    <mergeCell ref="D26:E26"/>
    <mergeCell ref="A27:C27"/>
    <mergeCell ref="D27:E27"/>
    <mergeCell ref="A28:E28"/>
  </mergeCells>
  <pageMargins left="0.19685039370078741" right="0.19685039370078741" top="0.98425196850393704" bottom="0.78740157480314965" header="0.31496062992125984" footer="0.31496062992125984"/>
  <pageSetup paperSize="9" scale="54"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623A6-F0F6-4C6C-9140-7BDD3F99CA4C}">
  <sheetPr>
    <tabColor rgb="FFF84ACA"/>
    <pageSetUpPr fitToPage="1"/>
  </sheetPr>
  <dimension ref="A2:M39"/>
  <sheetViews>
    <sheetView topLeftCell="A14" zoomScale="115" zoomScaleNormal="115" zoomScaleSheetLayoutView="115" workbookViewId="0">
      <selection activeCell="B35" sqref="B35:C35"/>
    </sheetView>
  </sheetViews>
  <sheetFormatPr defaultRowHeight="15.75"/>
  <cols>
    <col min="1" max="1" width="5.7109375" style="85" customWidth="1"/>
    <col min="2" max="2" width="89.5703125" style="104" customWidth="1"/>
    <col min="3" max="3" width="15.7109375" style="85" customWidth="1"/>
    <col min="4" max="5" width="9.7109375" style="85" customWidth="1"/>
    <col min="6" max="7" width="15.7109375" style="85" customWidth="1"/>
    <col min="8" max="8" width="18.85546875" style="85" bestFit="1" customWidth="1"/>
    <col min="9" max="9" width="4" style="80" customWidth="1"/>
  </cols>
  <sheetData>
    <row r="2" spans="1:13" ht="21">
      <c r="A2" s="736" t="s">
        <v>552</v>
      </c>
      <c r="B2" s="736"/>
      <c r="C2" s="736"/>
      <c r="D2" s="736"/>
      <c r="E2" s="736"/>
      <c r="F2" s="736"/>
      <c r="G2" s="736"/>
      <c r="H2" s="736"/>
    </row>
    <row r="3" spans="1:13" ht="15">
      <c r="A3" s="737" t="s">
        <v>148</v>
      </c>
      <c r="B3" s="737" t="s">
        <v>168</v>
      </c>
      <c r="C3" s="737" t="s">
        <v>156</v>
      </c>
      <c r="D3" s="738" t="s">
        <v>275</v>
      </c>
      <c r="E3" s="738" t="s">
        <v>344</v>
      </c>
      <c r="F3" s="739" t="s">
        <v>174</v>
      </c>
      <c r="G3" s="150" t="s">
        <v>184</v>
      </c>
      <c r="H3" s="725" t="s">
        <v>169</v>
      </c>
      <c r="J3" t="s">
        <v>577</v>
      </c>
    </row>
    <row r="4" spans="1:13" ht="30">
      <c r="A4" s="737"/>
      <c r="B4" s="737"/>
      <c r="C4" s="737"/>
      <c r="D4" s="738"/>
      <c r="E4" s="738"/>
      <c r="F4" s="739"/>
      <c r="G4" s="167">
        <f>D38</f>
        <v>0.28270000000000001</v>
      </c>
      <c r="H4" s="725"/>
      <c r="J4" s="192" t="s">
        <v>571</v>
      </c>
      <c r="K4" s="741" t="s">
        <v>582</v>
      </c>
      <c r="L4" s="742"/>
      <c r="M4" s="743"/>
    </row>
    <row r="5" spans="1:13" ht="47.25">
      <c r="A5" s="363">
        <v>1</v>
      </c>
      <c r="B5" s="374" t="s">
        <v>564</v>
      </c>
      <c r="C5" s="368" t="s">
        <v>156</v>
      </c>
      <c r="D5" s="364">
        <v>5</v>
      </c>
      <c r="E5" s="369">
        <f>D5*12</f>
        <v>60</v>
      </c>
      <c r="F5" s="365">
        <v>0.24</v>
      </c>
      <c r="G5" s="366">
        <f>ROUND(('Mat. Limp.'!$G$4*F5)+F5,2)</f>
        <v>0.31</v>
      </c>
      <c r="H5" s="367">
        <f>TRUNC(E5*G5,2)</f>
        <v>18.600000000000001</v>
      </c>
      <c r="I5" s="370"/>
      <c r="J5" s="371">
        <v>0.24</v>
      </c>
      <c r="K5" s="371"/>
      <c r="L5" s="371"/>
      <c r="M5" s="371"/>
    </row>
    <row r="6" spans="1:13">
      <c r="A6" s="363">
        <v>2</v>
      </c>
      <c r="B6" s="374" t="s">
        <v>565</v>
      </c>
      <c r="C6" s="368" t="s">
        <v>570</v>
      </c>
      <c r="D6" s="364" t="s">
        <v>343</v>
      </c>
      <c r="E6" s="369">
        <v>6</v>
      </c>
      <c r="F6" s="365">
        <v>2.17</v>
      </c>
      <c r="G6" s="366">
        <f>ROUND(('Mat. Limp.'!$G$4*F6)+F6,2)</f>
        <v>2.78</v>
      </c>
      <c r="H6" s="367">
        <f t="shared" ref="H6:H23" si="0">TRUNC(E6*G6,2)</f>
        <v>16.68</v>
      </c>
      <c r="I6" s="370"/>
      <c r="J6" s="371">
        <v>2.17</v>
      </c>
      <c r="K6" s="371"/>
      <c r="L6" s="371"/>
      <c r="M6" s="371"/>
    </row>
    <row r="7" spans="1:13" ht="31.5">
      <c r="A7" s="363">
        <v>3</v>
      </c>
      <c r="B7" s="374" t="s">
        <v>447</v>
      </c>
      <c r="C7" s="368" t="s">
        <v>570</v>
      </c>
      <c r="D7" s="364" t="s">
        <v>343</v>
      </c>
      <c r="E7" s="369">
        <v>6</v>
      </c>
      <c r="F7" s="365">
        <v>5.4</v>
      </c>
      <c r="G7" s="366">
        <f>ROUND(('Mat. Limp.'!$G$4*F7)+F7,2)</f>
        <v>6.93</v>
      </c>
      <c r="H7" s="367">
        <f t="shared" si="0"/>
        <v>41.58</v>
      </c>
      <c r="I7" s="372"/>
      <c r="J7" s="371">
        <v>5.4</v>
      </c>
      <c r="K7" s="371"/>
      <c r="L7" s="371"/>
      <c r="M7" s="371"/>
    </row>
    <row r="8" spans="1:13" ht="29.25" customHeight="1">
      <c r="A8" s="363">
        <v>4</v>
      </c>
      <c r="B8" s="374" t="s">
        <v>575</v>
      </c>
      <c r="C8" s="368" t="s">
        <v>156</v>
      </c>
      <c r="D8" s="364">
        <v>1</v>
      </c>
      <c r="E8" s="369">
        <f>D8*12</f>
        <v>12</v>
      </c>
      <c r="F8" s="365">
        <v>13</v>
      </c>
      <c r="G8" s="366">
        <f>ROUND(('Mat. Limp.'!$G$4*F8)+F8,2)</f>
        <v>16.68</v>
      </c>
      <c r="H8" s="367">
        <f t="shared" si="0"/>
        <v>200.16</v>
      </c>
      <c r="I8" s="372"/>
      <c r="J8" s="371">
        <v>13</v>
      </c>
      <c r="K8" s="371"/>
      <c r="L8" s="371"/>
      <c r="M8" s="371"/>
    </row>
    <row r="9" spans="1:13" ht="47.25">
      <c r="A9" s="363">
        <v>5</v>
      </c>
      <c r="B9" s="374" t="s">
        <v>448</v>
      </c>
      <c r="C9" s="368" t="s">
        <v>569</v>
      </c>
      <c r="D9" s="364">
        <v>2</v>
      </c>
      <c r="E9" s="369">
        <f>D9*12</f>
        <v>24</v>
      </c>
      <c r="F9" s="365">
        <v>4</v>
      </c>
      <c r="G9" s="366">
        <f>ROUND(('Mat. Limp.'!$G$4*F9)+F9,2)</f>
        <v>5.13</v>
      </c>
      <c r="H9" s="367">
        <f t="shared" si="0"/>
        <v>123.12</v>
      </c>
      <c r="I9" s="372"/>
      <c r="J9" s="371">
        <v>4</v>
      </c>
      <c r="K9" s="371"/>
      <c r="L9" s="371"/>
      <c r="M9" s="371"/>
    </row>
    <row r="10" spans="1:13" ht="31.5">
      <c r="A10" s="363">
        <v>6</v>
      </c>
      <c r="B10" s="374" t="s">
        <v>449</v>
      </c>
      <c r="C10" s="368" t="s">
        <v>569</v>
      </c>
      <c r="D10" s="364">
        <v>2</v>
      </c>
      <c r="E10" s="369">
        <f>D10*12</f>
        <v>24</v>
      </c>
      <c r="F10" s="365">
        <v>1.98</v>
      </c>
      <c r="G10" s="366">
        <f>ROUND(('Mat. Limp.'!$G$4*F10)+F10,2)</f>
        <v>2.54</v>
      </c>
      <c r="H10" s="367">
        <f t="shared" si="0"/>
        <v>60.96</v>
      </c>
      <c r="I10" s="372"/>
      <c r="J10" s="371">
        <v>1.98</v>
      </c>
      <c r="K10" s="371"/>
      <c r="L10" s="371"/>
      <c r="M10" s="371"/>
    </row>
    <row r="11" spans="1:13" ht="47.25">
      <c r="A11" s="363">
        <v>7</v>
      </c>
      <c r="B11" s="373" t="s">
        <v>450</v>
      </c>
      <c r="C11" s="368" t="s">
        <v>156</v>
      </c>
      <c r="D11" s="364" t="s">
        <v>343</v>
      </c>
      <c r="E11" s="369">
        <v>2</v>
      </c>
      <c r="F11" s="365">
        <f>ROUND(AVERAGE(K11:M11),2)</f>
        <v>28.49</v>
      </c>
      <c r="G11" s="366">
        <f>ROUND(('Mat. Limp.'!$G$4*F11)+F11,2)</f>
        <v>36.54</v>
      </c>
      <c r="H11" s="367">
        <f t="shared" si="0"/>
        <v>73.08</v>
      </c>
      <c r="I11" s="372"/>
      <c r="J11" s="371"/>
      <c r="K11" s="371">
        <v>25</v>
      </c>
      <c r="L11" s="371">
        <v>28</v>
      </c>
      <c r="M11" s="371">
        <f>18.15+14.31</f>
        <v>32.46</v>
      </c>
    </row>
    <row r="12" spans="1:13" ht="94.5">
      <c r="A12" s="363">
        <v>8</v>
      </c>
      <c r="B12" s="374" t="s">
        <v>451</v>
      </c>
      <c r="C12" s="368" t="s">
        <v>156</v>
      </c>
      <c r="D12" s="364" t="s">
        <v>343</v>
      </c>
      <c r="E12" s="369">
        <v>1</v>
      </c>
      <c r="F12" s="365">
        <v>223</v>
      </c>
      <c r="G12" s="366">
        <f>ROUND(('Mat. Limp.'!$G$4*F12)+F12,2)</f>
        <v>286.04000000000002</v>
      </c>
      <c r="H12" s="367">
        <f t="shared" si="0"/>
        <v>286.04000000000002</v>
      </c>
      <c r="I12" s="372"/>
      <c r="J12" s="371">
        <v>223</v>
      </c>
      <c r="K12" s="371"/>
      <c r="L12" s="371"/>
      <c r="M12" s="371"/>
    </row>
    <row r="13" spans="1:13" ht="31.5">
      <c r="A13" s="363">
        <v>9</v>
      </c>
      <c r="B13" s="374" t="s">
        <v>568</v>
      </c>
      <c r="C13" s="368" t="s">
        <v>569</v>
      </c>
      <c r="D13" s="364">
        <v>2</v>
      </c>
      <c r="E13" s="369">
        <f>D13*12</f>
        <v>24</v>
      </c>
      <c r="F13" s="365">
        <v>3.88</v>
      </c>
      <c r="G13" s="366">
        <f>ROUND(('Mat. Limp.'!$G$4*F13)+F13,2)</f>
        <v>4.9800000000000004</v>
      </c>
      <c r="H13" s="367">
        <f>TRUNC(E13*G13,2)</f>
        <v>119.52</v>
      </c>
      <c r="I13" s="372"/>
      <c r="J13" s="371">
        <v>3.88</v>
      </c>
      <c r="K13" s="371"/>
      <c r="L13" s="371"/>
      <c r="M13" s="371"/>
    </row>
    <row r="14" spans="1:13" ht="63">
      <c r="A14" s="363">
        <v>10</v>
      </c>
      <c r="B14" s="374" t="s">
        <v>452</v>
      </c>
      <c r="C14" s="368" t="s">
        <v>569</v>
      </c>
      <c r="D14" s="364">
        <v>1</v>
      </c>
      <c r="E14" s="369">
        <f>D14*12</f>
        <v>12</v>
      </c>
      <c r="F14" s="365">
        <v>4.72</v>
      </c>
      <c r="G14" s="366">
        <f>ROUND(('Mat. Limp.'!$G$4*F14)+F14,2)</f>
        <v>6.05</v>
      </c>
      <c r="H14" s="367">
        <f t="shared" si="0"/>
        <v>72.599999999999994</v>
      </c>
      <c r="I14" s="372"/>
      <c r="J14" s="371">
        <v>4.72</v>
      </c>
      <c r="K14" s="371"/>
      <c r="L14" s="371"/>
      <c r="M14" s="371"/>
    </row>
    <row r="15" spans="1:13" ht="31.5">
      <c r="A15" s="363">
        <v>11</v>
      </c>
      <c r="B15" s="374" t="s">
        <v>453</v>
      </c>
      <c r="C15" s="368" t="s">
        <v>580</v>
      </c>
      <c r="D15" s="364">
        <v>3</v>
      </c>
      <c r="E15" s="369">
        <f>D15*12</f>
        <v>36</v>
      </c>
      <c r="F15" s="365">
        <v>1.66</v>
      </c>
      <c r="G15" s="366">
        <f>ROUND(('Mat. Limp.'!$G$4*F15)+F15,2)</f>
        <v>2.13</v>
      </c>
      <c r="H15" s="367">
        <f t="shared" si="0"/>
        <v>76.680000000000007</v>
      </c>
      <c r="I15" s="372"/>
      <c r="J15" s="371">
        <v>1.66</v>
      </c>
      <c r="K15" s="371"/>
      <c r="L15" s="371"/>
      <c r="M15" s="371"/>
    </row>
    <row r="16" spans="1:13" ht="31.5">
      <c r="A16" s="363">
        <v>12</v>
      </c>
      <c r="B16" s="374" t="s">
        <v>566</v>
      </c>
      <c r="C16" s="368" t="s">
        <v>580</v>
      </c>
      <c r="D16" s="364" t="s">
        <v>343</v>
      </c>
      <c r="E16" s="369">
        <v>1</v>
      </c>
      <c r="F16" s="365">
        <v>2.48</v>
      </c>
      <c r="G16" s="366">
        <f>ROUND(('Mat. Limp.'!$G$4*F16)+F16,2)</f>
        <v>3.18</v>
      </c>
      <c r="H16" s="367">
        <f t="shared" si="0"/>
        <v>3.18</v>
      </c>
      <c r="I16" s="372"/>
      <c r="J16" s="371">
        <v>2.48</v>
      </c>
      <c r="K16" s="371"/>
      <c r="L16" s="371"/>
      <c r="M16" s="371"/>
    </row>
    <row r="17" spans="1:13" ht="33.75" customHeight="1">
      <c r="A17" s="363">
        <v>13</v>
      </c>
      <c r="B17" s="374" t="s">
        <v>572</v>
      </c>
      <c r="C17" s="368" t="s">
        <v>581</v>
      </c>
      <c r="D17" s="364">
        <v>30</v>
      </c>
      <c r="E17" s="369">
        <f>D17*12</f>
        <v>360</v>
      </c>
      <c r="F17" s="365">
        <f>J17</f>
        <v>1.1000000000000001</v>
      </c>
      <c r="G17" s="366">
        <f>ROUND(('Mat. Limp.'!$G$4*F17)+F17,2)</f>
        <v>1.41</v>
      </c>
      <c r="H17" s="367">
        <f t="shared" si="0"/>
        <v>507.6</v>
      </c>
      <c r="I17" s="372"/>
      <c r="J17" s="371">
        <v>1.1000000000000001</v>
      </c>
      <c r="K17" s="371"/>
      <c r="L17" s="371"/>
      <c r="M17" s="371"/>
    </row>
    <row r="18" spans="1:13" ht="31.5">
      <c r="A18" s="363">
        <v>14</v>
      </c>
      <c r="B18" s="374" t="s">
        <v>567</v>
      </c>
      <c r="C18" s="368" t="s">
        <v>573</v>
      </c>
      <c r="D18" s="364" t="s">
        <v>343</v>
      </c>
      <c r="E18" s="369">
        <v>2</v>
      </c>
      <c r="F18" s="454">
        <f>J18</f>
        <v>4.97</v>
      </c>
      <c r="G18" s="366">
        <f>ROUND(('Mat. Limp.'!$G$4*F18)+F18,2)</f>
        <v>6.38</v>
      </c>
      <c r="H18" s="367">
        <f t="shared" si="0"/>
        <v>12.76</v>
      </c>
      <c r="I18" s="372"/>
      <c r="J18" s="371">
        <v>4.97</v>
      </c>
      <c r="K18" s="371"/>
      <c r="L18" s="371"/>
      <c r="M18" s="371"/>
    </row>
    <row r="19" spans="1:13">
      <c r="A19" s="363">
        <v>15</v>
      </c>
      <c r="B19" s="374" t="s">
        <v>578</v>
      </c>
      <c r="C19" s="368" t="s">
        <v>156</v>
      </c>
      <c r="D19" s="364" t="s">
        <v>343</v>
      </c>
      <c r="E19" s="369">
        <v>2</v>
      </c>
      <c r="F19" s="365">
        <f>ROUND(AVERAGE(K19:M19),2)</f>
        <v>6.06</v>
      </c>
      <c r="G19" s="366">
        <f>ROUND(('Mat. Limp.'!$G$4*F19)+F19,2)</f>
        <v>7.77</v>
      </c>
      <c r="H19" s="367">
        <f>TRUNC(E19*G19,2)</f>
        <v>15.54</v>
      </c>
      <c r="I19" s="372"/>
      <c r="J19" s="371"/>
      <c r="K19" s="371">
        <v>4.5</v>
      </c>
      <c r="L19" s="371">
        <v>5.99</v>
      </c>
      <c r="M19" s="371">
        <f>(55+21.75)/10</f>
        <v>7.6749999999999998</v>
      </c>
    </row>
    <row r="20" spans="1:13">
      <c r="A20" s="363">
        <v>16</v>
      </c>
      <c r="B20" s="374" t="s">
        <v>454</v>
      </c>
      <c r="C20" s="368" t="s">
        <v>579</v>
      </c>
      <c r="D20" s="364" t="s">
        <v>343</v>
      </c>
      <c r="E20" s="369">
        <v>6</v>
      </c>
      <c r="F20" s="454">
        <v>4.91</v>
      </c>
      <c r="G20" s="366">
        <f>ROUND(('Mat. Limp.'!$G$4*F20)+F20,2)</f>
        <v>6.3</v>
      </c>
      <c r="H20" s="367">
        <f t="shared" si="0"/>
        <v>37.799999999999997</v>
      </c>
      <c r="I20" s="372"/>
      <c r="J20" s="371">
        <v>4.91</v>
      </c>
      <c r="K20" s="371"/>
      <c r="L20" s="371"/>
      <c r="M20" s="371"/>
    </row>
    <row r="21" spans="1:13">
      <c r="A21" s="363">
        <v>17</v>
      </c>
      <c r="B21" s="374" t="s">
        <v>574</v>
      </c>
      <c r="C21" s="368" t="s">
        <v>156</v>
      </c>
      <c r="D21" s="364">
        <v>4</v>
      </c>
      <c r="E21" s="369">
        <f>D21*12</f>
        <v>48</v>
      </c>
      <c r="F21" s="454">
        <v>0.18</v>
      </c>
      <c r="G21" s="366">
        <f>ROUND(('Mat. Limp.'!$G$4*F21)+F21,2)</f>
        <v>0.23</v>
      </c>
      <c r="H21" s="367">
        <f t="shared" si="0"/>
        <v>11.04</v>
      </c>
      <c r="I21" s="372"/>
      <c r="J21" s="371">
        <v>0.18</v>
      </c>
      <c r="K21" s="371"/>
      <c r="L21" s="371"/>
      <c r="M21" s="371"/>
    </row>
    <row r="22" spans="1:13">
      <c r="A22" s="363">
        <v>18</v>
      </c>
      <c r="B22" s="374" t="s">
        <v>455</v>
      </c>
      <c r="C22" s="368" t="s">
        <v>570</v>
      </c>
      <c r="D22" s="364">
        <v>2</v>
      </c>
      <c r="E22" s="369">
        <f>D22*12</f>
        <v>24</v>
      </c>
      <c r="F22" s="454">
        <v>3.99</v>
      </c>
      <c r="G22" s="366">
        <f>ROUND(('Mat. Limp.'!$G$4*F22)+F22,2)</f>
        <v>5.12</v>
      </c>
      <c r="H22" s="367">
        <f t="shared" si="0"/>
        <v>122.88</v>
      </c>
      <c r="I22" s="372"/>
      <c r="J22" s="371">
        <v>3.99</v>
      </c>
      <c r="K22" s="371"/>
      <c r="L22" s="371"/>
      <c r="M22" s="371"/>
    </row>
    <row r="23" spans="1:13">
      <c r="A23" s="363">
        <v>19</v>
      </c>
      <c r="B23" s="374" t="s">
        <v>576</v>
      </c>
      <c r="C23" s="368" t="s">
        <v>570</v>
      </c>
      <c r="D23" s="364">
        <v>2</v>
      </c>
      <c r="E23" s="369">
        <f>D23*12</f>
        <v>24</v>
      </c>
      <c r="F23" s="365">
        <f>ROUND(AVERAGE(K23:M23),2)</f>
        <v>8.2799999999999994</v>
      </c>
      <c r="G23" s="366">
        <f>ROUND(('Mat. Limp.'!$G$4*F23)+F23,2)</f>
        <v>10.62</v>
      </c>
      <c r="H23" s="367">
        <f t="shared" si="0"/>
        <v>254.88</v>
      </c>
      <c r="I23" s="372"/>
      <c r="J23" s="371"/>
      <c r="K23" s="371">
        <v>8.99</v>
      </c>
      <c r="L23" s="371">
        <v>5.0199999999999996</v>
      </c>
      <c r="M23" s="371">
        <v>10.82</v>
      </c>
    </row>
    <row r="24" spans="1:13" s="80" customFormat="1" ht="15.75" customHeight="1">
      <c r="A24" s="730" t="s">
        <v>346</v>
      </c>
      <c r="B24" s="731"/>
      <c r="C24" s="731"/>
      <c r="D24" s="731"/>
      <c r="E24" s="731"/>
      <c r="F24" s="731"/>
      <c r="G24" s="732"/>
      <c r="H24" s="125">
        <f>ROUND(SUM(H5:H23),2)</f>
        <v>2054.6999999999998</v>
      </c>
      <c r="J24" s="324"/>
      <c r="K24" s="324"/>
      <c r="L24" s="324"/>
      <c r="M24" s="324"/>
    </row>
    <row r="25" spans="1:13" s="80" customFormat="1">
      <c r="A25" s="101"/>
      <c r="B25" s="103"/>
      <c r="C25" s="101"/>
      <c r="D25" s="102"/>
      <c r="E25" s="102"/>
      <c r="F25" s="102"/>
      <c r="G25" s="102"/>
      <c r="H25" s="102"/>
    </row>
    <row r="26" spans="1:13" s="80" customFormat="1">
      <c r="A26" s="733" t="s">
        <v>166</v>
      </c>
      <c r="B26" s="734"/>
      <c r="C26" s="734"/>
      <c r="D26" s="734"/>
      <c r="E26" s="734"/>
      <c r="F26" s="734"/>
      <c r="G26" s="735"/>
      <c r="H26" s="126">
        <f>ROUND(H24/12,2)</f>
        <v>171.23</v>
      </c>
    </row>
    <row r="28" spans="1:13" s="80" customFormat="1">
      <c r="A28" s="715" t="s">
        <v>305</v>
      </c>
      <c r="B28" s="715"/>
      <c r="C28" s="715"/>
      <c r="D28" s="715"/>
      <c r="E28" s="715"/>
      <c r="F28" s="85"/>
      <c r="G28" s="85"/>
      <c r="H28" s="85"/>
    </row>
    <row r="29" spans="1:13" s="80" customFormat="1">
      <c r="A29" s="714" t="s">
        <v>70</v>
      </c>
      <c r="B29" s="714"/>
      <c r="C29" s="714"/>
      <c r="D29" s="714"/>
      <c r="E29" s="714"/>
      <c r="F29" s="85"/>
      <c r="G29" s="85"/>
      <c r="H29" s="85"/>
    </row>
    <row r="30" spans="1:13" s="80" customFormat="1">
      <c r="A30" s="11">
        <v>6</v>
      </c>
      <c r="B30" s="574" t="s">
        <v>70</v>
      </c>
      <c r="C30" s="574"/>
      <c r="D30" s="581" t="s">
        <v>86</v>
      </c>
      <c r="E30" s="581"/>
      <c r="F30" s="85"/>
      <c r="G30" s="85"/>
      <c r="H30" s="85"/>
    </row>
    <row r="31" spans="1:13" s="80" customFormat="1">
      <c r="A31" s="10" t="s">
        <v>3</v>
      </c>
      <c r="B31" s="575" t="s">
        <v>71</v>
      </c>
      <c r="C31" s="575"/>
      <c r="D31" s="728">
        <v>0.03</v>
      </c>
      <c r="E31" s="728"/>
      <c r="F31" s="85"/>
      <c r="G31" s="85"/>
      <c r="H31" s="85"/>
    </row>
    <row r="32" spans="1:13" s="80" customFormat="1">
      <c r="A32" s="10" t="s">
        <v>5</v>
      </c>
      <c r="B32" s="575" t="s">
        <v>72</v>
      </c>
      <c r="C32" s="575"/>
      <c r="D32" s="728">
        <v>6.7900000000000002E-2</v>
      </c>
      <c r="E32" s="728"/>
      <c r="F32" s="85"/>
      <c r="G32" s="85"/>
      <c r="H32" s="85"/>
    </row>
    <row r="33" spans="1:8" s="80" customFormat="1">
      <c r="A33" s="11" t="s">
        <v>8</v>
      </c>
      <c r="B33" s="701" t="s">
        <v>73</v>
      </c>
      <c r="C33" s="701"/>
      <c r="D33" s="729">
        <f>TRUNC(SUM(D34:D36),4)</f>
        <v>0.14249999999999999</v>
      </c>
      <c r="E33" s="729"/>
      <c r="F33" s="85"/>
      <c r="G33" s="85"/>
      <c r="H33" s="85"/>
    </row>
    <row r="34" spans="1:8" s="80" customFormat="1">
      <c r="A34" s="10"/>
      <c r="B34" s="575" t="s">
        <v>458</v>
      </c>
      <c r="C34" s="575"/>
      <c r="D34" s="728">
        <f>MC!$C$95</f>
        <v>1.6500000000000001E-2</v>
      </c>
      <c r="E34" s="728"/>
      <c r="F34" s="85"/>
      <c r="G34" s="85"/>
      <c r="H34" s="85"/>
    </row>
    <row r="35" spans="1:8" s="80" customFormat="1">
      <c r="A35" s="10"/>
      <c r="B35" s="575" t="s">
        <v>459</v>
      </c>
      <c r="C35" s="575"/>
      <c r="D35" s="728">
        <f>MC!$C$94</f>
        <v>7.5999999999999998E-2</v>
      </c>
      <c r="E35" s="728"/>
      <c r="F35" s="85"/>
      <c r="G35" s="85"/>
      <c r="H35" s="85"/>
    </row>
    <row r="36" spans="1:8" s="80" customFormat="1">
      <c r="A36" s="38"/>
      <c r="B36" s="575" t="s">
        <v>460</v>
      </c>
      <c r="C36" s="575"/>
      <c r="D36" s="728">
        <f>MC!C93</f>
        <v>0.05</v>
      </c>
      <c r="E36" s="728"/>
      <c r="F36" s="85"/>
      <c r="G36" s="85"/>
      <c r="H36" s="85"/>
    </row>
    <row r="37" spans="1:8" s="80" customFormat="1">
      <c r="A37" s="581" t="s">
        <v>75</v>
      </c>
      <c r="B37" s="581"/>
      <c r="C37" s="581"/>
      <c r="D37" s="726">
        <f>TRUNC((D31+D32+D33),4)</f>
        <v>0.2404</v>
      </c>
      <c r="E37" s="726"/>
      <c r="F37" s="85"/>
      <c r="G37" s="85"/>
      <c r="H37" s="85"/>
    </row>
    <row r="38" spans="1:8" s="80" customFormat="1">
      <c r="A38" s="704" t="s">
        <v>306</v>
      </c>
      <c r="B38" s="704"/>
      <c r="C38" s="704"/>
      <c r="D38" s="727">
        <f>TRUNC( (1+D31) * (1+D32) / (1-D33) -1,4)</f>
        <v>0.28270000000000001</v>
      </c>
      <c r="E38" s="727"/>
      <c r="F38" s="85"/>
      <c r="G38" s="85"/>
      <c r="H38" s="85"/>
    </row>
    <row r="39" spans="1:8" s="80" customFormat="1">
      <c r="A39" s="698" t="s">
        <v>557</v>
      </c>
      <c r="B39" s="699"/>
      <c r="C39" s="699"/>
      <c r="D39" s="699"/>
      <c r="E39" s="700"/>
      <c r="F39" s="85"/>
      <c r="G39" s="85"/>
      <c r="H39" s="85"/>
    </row>
  </sheetData>
  <mergeCells count="32">
    <mergeCell ref="D30:E30"/>
    <mergeCell ref="A2:H2"/>
    <mergeCell ref="A3:A4"/>
    <mergeCell ref="B3:B4"/>
    <mergeCell ref="C3:C4"/>
    <mergeCell ref="D3:D4"/>
    <mergeCell ref="E3:E4"/>
    <mergeCell ref="F3:F4"/>
    <mergeCell ref="H3:H4"/>
    <mergeCell ref="A39:E39"/>
    <mergeCell ref="B34:C34"/>
    <mergeCell ref="D34:E34"/>
    <mergeCell ref="B35:C35"/>
    <mergeCell ref="D35:E35"/>
    <mergeCell ref="B36:C36"/>
    <mergeCell ref="D36:E36"/>
    <mergeCell ref="K4:M4"/>
    <mergeCell ref="A37:C37"/>
    <mergeCell ref="D37:E37"/>
    <mergeCell ref="A38:C38"/>
    <mergeCell ref="D38:E38"/>
    <mergeCell ref="B31:C31"/>
    <mergeCell ref="D31:E31"/>
    <mergeCell ref="B32:C32"/>
    <mergeCell ref="D32:E32"/>
    <mergeCell ref="B33:C33"/>
    <mergeCell ref="D33:E33"/>
    <mergeCell ref="A24:G24"/>
    <mergeCell ref="A26:G26"/>
    <mergeCell ref="A28:E28"/>
    <mergeCell ref="A29:E29"/>
    <mergeCell ref="B30:C30"/>
  </mergeCells>
  <pageMargins left="0.19685039370078741" right="0.19685039370078741" top="0.98425196850393704" bottom="0.78740157480314965" header="0.31496062992125984" footer="0.31496062992125984"/>
  <pageSetup paperSize="9" scale="54"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C14BF-819C-4FC5-BC4A-2E2C68CEF1BA}">
  <sheetPr>
    <tabColor rgb="FFFFCCFF"/>
    <pageSetUpPr fitToPage="1"/>
  </sheetPr>
  <dimension ref="A2:R55"/>
  <sheetViews>
    <sheetView topLeftCell="A3" zoomScale="115" zoomScaleNormal="115" zoomScaleSheetLayoutView="115" workbookViewId="0">
      <selection activeCell="C26" sqref="C26"/>
    </sheetView>
  </sheetViews>
  <sheetFormatPr defaultRowHeight="15.75"/>
  <cols>
    <col min="1" max="1" width="5.7109375" style="85" customWidth="1"/>
    <col min="2" max="2" width="89.5703125" style="104" customWidth="1"/>
    <col min="3" max="3" width="15.7109375" style="85" customWidth="1"/>
    <col min="4" max="5" width="9.7109375" style="85" customWidth="1"/>
    <col min="6" max="7" width="15.7109375" style="85" customWidth="1"/>
    <col min="8" max="8" width="18.85546875" style="85" bestFit="1" customWidth="1"/>
    <col min="9" max="9" width="4" style="80" customWidth="1"/>
    <col min="10" max="10" width="11.85546875" customWidth="1"/>
    <col min="11" max="11" width="11.140625" customWidth="1"/>
    <col min="12" max="12" width="11.5703125" customWidth="1"/>
    <col min="13" max="13" width="11.28515625" customWidth="1"/>
    <col min="16" max="16" width="6.28515625" customWidth="1"/>
    <col min="17" max="17" width="7.140625" customWidth="1"/>
  </cols>
  <sheetData>
    <row r="2" spans="1:14" ht="24.75" customHeight="1">
      <c r="A2" s="746" t="s">
        <v>664</v>
      </c>
      <c r="B2" s="746"/>
      <c r="C2" s="746"/>
      <c r="D2" s="746"/>
      <c r="E2" s="746"/>
      <c r="F2" s="746"/>
      <c r="G2" s="746"/>
      <c r="H2" s="746"/>
    </row>
    <row r="3" spans="1:14" ht="15">
      <c r="A3" s="737" t="s">
        <v>148</v>
      </c>
      <c r="B3" s="737" t="s">
        <v>168</v>
      </c>
      <c r="C3" s="737" t="s">
        <v>156</v>
      </c>
      <c r="D3" s="738" t="s">
        <v>275</v>
      </c>
      <c r="E3" s="738" t="s">
        <v>344</v>
      </c>
      <c r="F3" s="739" t="s">
        <v>174</v>
      </c>
      <c r="G3" s="150" t="s">
        <v>184</v>
      </c>
      <c r="H3" s="725" t="s">
        <v>345</v>
      </c>
      <c r="J3" s="707" t="s">
        <v>596</v>
      </c>
      <c r="K3" s="707"/>
      <c r="L3" s="707"/>
      <c r="M3" s="707"/>
    </row>
    <row r="4" spans="1:14" ht="45">
      <c r="A4" s="737"/>
      <c r="B4" s="737"/>
      <c r="C4" s="737"/>
      <c r="D4" s="738"/>
      <c r="E4" s="738"/>
      <c r="F4" s="739"/>
      <c r="G4" s="167">
        <f>D45</f>
        <v>0.28270000000000001</v>
      </c>
      <c r="H4" s="725"/>
      <c r="J4" s="376" t="s">
        <v>597</v>
      </c>
      <c r="K4" s="188"/>
      <c r="L4" s="188"/>
      <c r="M4" s="188"/>
    </row>
    <row r="5" spans="1:14" ht="15">
      <c r="A5" s="216">
        <v>36</v>
      </c>
      <c r="B5" s="217" t="s">
        <v>335</v>
      </c>
      <c r="C5" s="199"/>
      <c r="D5" s="200"/>
      <c r="E5" s="200"/>
      <c r="F5" s="201"/>
      <c r="G5" s="202"/>
      <c r="H5" s="451">
        <f>ROUND(SUM(H6:H7),2)</f>
        <v>10975.08</v>
      </c>
      <c r="J5" s="191"/>
      <c r="K5" s="191"/>
      <c r="L5" s="191"/>
      <c r="M5" s="191"/>
    </row>
    <row r="6" spans="1:14" ht="15">
      <c r="A6" s="204"/>
      <c r="B6" s="205" t="s">
        <v>348</v>
      </c>
      <c r="C6" s="206" t="s">
        <v>355</v>
      </c>
      <c r="D6" s="200" t="s">
        <v>343</v>
      </c>
      <c r="E6" s="200">
        <v>3</v>
      </c>
      <c r="F6" s="207">
        <f>TRUNC(J6,2)</f>
        <v>1602.58</v>
      </c>
      <c r="G6" s="202">
        <f t="shared" ref="G6:G28" si="0">ROUND(($G$4*F6)+F6,2)</f>
        <v>2055.63</v>
      </c>
      <c r="H6" s="203">
        <f>TRUNC(E6*G6,2)</f>
        <v>6166.89</v>
      </c>
      <c r="J6" s="324">
        <f>0.14*11447</f>
        <v>1602.5800000000002</v>
      </c>
      <c r="K6" s="324"/>
      <c r="L6" s="324"/>
      <c r="M6" s="324"/>
      <c r="N6" t="s">
        <v>665</v>
      </c>
    </row>
    <row r="7" spans="1:14" ht="15">
      <c r="A7" s="204"/>
      <c r="B7" s="205" t="s">
        <v>349</v>
      </c>
      <c r="C7" s="206" t="s">
        <v>355</v>
      </c>
      <c r="D7" s="200" t="s">
        <v>343</v>
      </c>
      <c r="E7" s="200">
        <v>3</v>
      </c>
      <c r="F7" s="207">
        <f>TRUNC(J7,2)</f>
        <v>1249.5</v>
      </c>
      <c r="G7" s="202">
        <f t="shared" si="0"/>
        <v>1602.73</v>
      </c>
      <c r="H7" s="203">
        <f t="shared" ref="H7:H28" si="1">TRUNC(E7*G7,2)</f>
        <v>4808.1899999999996</v>
      </c>
      <c r="J7" s="324">
        <f>0.14*8925</f>
        <v>1249.5000000000002</v>
      </c>
      <c r="K7" s="324"/>
      <c r="L7" s="324"/>
      <c r="M7" s="324"/>
      <c r="N7" t="s">
        <v>665</v>
      </c>
    </row>
    <row r="8" spans="1:14" ht="15">
      <c r="A8" s="216">
        <v>37</v>
      </c>
      <c r="B8" s="218" t="s">
        <v>332</v>
      </c>
      <c r="C8" s="206"/>
      <c r="D8" s="200"/>
      <c r="E8" s="200"/>
      <c r="F8" s="207"/>
      <c r="G8" s="202"/>
      <c r="H8" s="451">
        <f>ROUND(SUM(H9:H17),2)</f>
        <v>15381.48</v>
      </c>
      <c r="J8" s="324"/>
      <c r="K8" s="324" t="s">
        <v>658</v>
      </c>
      <c r="L8" s="324" t="s">
        <v>660</v>
      </c>
      <c r="M8" s="324" t="s">
        <v>663</v>
      </c>
    </row>
    <row r="9" spans="1:14" ht="15">
      <c r="A9" s="204"/>
      <c r="B9" s="205" t="s">
        <v>356</v>
      </c>
      <c r="C9" s="206" t="s">
        <v>364</v>
      </c>
      <c r="D9" s="200">
        <v>5</v>
      </c>
      <c r="E9" s="200">
        <f>D9*12</f>
        <v>60</v>
      </c>
      <c r="F9" s="207">
        <f>TRUNC(AVERAGE(J9:M9),2)</f>
        <v>15.4</v>
      </c>
      <c r="G9" s="202">
        <f>ROUND(($G$4*F9)+F9,2)</f>
        <v>19.75</v>
      </c>
      <c r="H9" s="203">
        <f>TRUNC(E9*G9,2)</f>
        <v>1185</v>
      </c>
      <c r="J9" s="324"/>
      <c r="K9" s="324">
        <v>12.54</v>
      </c>
      <c r="L9" s="324">
        <v>18.670000000000002</v>
      </c>
      <c r="M9" s="324">
        <v>15</v>
      </c>
    </row>
    <row r="10" spans="1:14" ht="15">
      <c r="A10" s="204"/>
      <c r="B10" s="205" t="s">
        <v>357</v>
      </c>
      <c r="C10" s="206" t="s">
        <v>364</v>
      </c>
      <c r="D10" s="200">
        <v>1</v>
      </c>
      <c r="E10" s="200">
        <f t="shared" ref="E10:E17" si="2">D10*12</f>
        <v>12</v>
      </c>
      <c r="F10" s="207">
        <f t="shared" ref="F10:F17" si="3">TRUNC(AVERAGE(J10:M10),2)</f>
        <v>48.54</v>
      </c>
      <c r="G10" s="202">
        <f t="shared" si="0"/>
        <v>62.26</v>
      </c>
      <c r="H10" s="203">
        <f t="shared" si="1"/>
        <v>747.12</v>
      </c>
      <c r="J10" s="324"/>
      <c r="K10" s="324">
        <v>47.62</v>
      </c>
      <c r="L10" s="324">
        <v>53</v>
      </c>
      <c r="M10" s="324">
        <v>45</v>
      </c>
    </row>
    <row r="11" spans="1:14" ht="15">
      <c r="A11" s="204"/>
      <c r="B11" s="205" t="s">
        <v>659</v>
      </c>
      <c r="C11" s="206" t="s">
        <v>364</v>
      </c>
      <c r="D11" s="200">
        <v>2</v>
      </c>
      <c r="E11" s="200">
        <f t="shared" si="2"/>
        <v>24</v>
      </c>
      <c r="F11" s="207">
        <f t="shared" si="3"/>
        <v>55.3</v>
      </c>
      <c r="G11" s="202">
        <f t="shared" si="0"/>
        <v>70.930000000000007</v>
      </c>
      <c r="H11" s="203">
        <f t="shared" si="1"/>
        <v>1702.32</v>
      </c>
      <c r="J11" s="324"/>
      <c r="K11" s="324">
        <v>55.3</v>
      </c>
      <c r="L11" s="324"/>
      <c r="M11" s="324"/>
    </row>
    <row r="12" spans="1:14" ht="15">
      <c r="A12" s="204"/>
      <c r="B12" s="205" t="s">
        <v>358</v>
      </c>
      <c r="C12" s="206" t="s">
        <v>364</v>
      </c>
      <c r="D12" s="200">
        <v>2</v>
      </c>
      <c r="E12" s="200">
        <f t="shared" si="2"/>
        <v>24</v>
      </c>
      <c r="F12" s="207">
        <f t="shared" si="3"/>
        <v>77</v>
      </c>
      <c r="G12" s="202">
        <f t="shared" si="0"/>
        <v>98.77</v>
      </c>
      <c r="H12" s="203">
        <f t="shared" si="1"/>
        <v>2370.48</v>
      </c>
      <c r="J12" s="324"/>
      <c r="K12" s="324"/>
      <c r="L12" s="324">
        <v>109</v>
      </c>
      <c r="M12" s="324">
        <v>45</v>
      </c>
    </row>
    <row r="13" spans="1:14" ht="15">
      <c r="A13" s="204"/>
      <c r="B13" s="205" t="s">
        <v>359</v>
      </c>
      <c r="C13" s="206" t="s">
        <v>364</v>
      </c>
      <c r="D13" s="200">
        <v>2</v>
      </c>
      <c r="E13" s="200">
        <f t="shared" si="2"/>
        <v>24</v>
      </c>
      <c r="F13" s="207">
        <f t="shared" si="3"/>
        <v>136.66999999999999</v>
      </c>
      <c r="G13" s="202">
        <f t="shared" si="0"/>
        <v>175.31</v>
      </c>
      <c r="H13" s="203">
        <f t="shared" si="1"/>
        <v>4207.4399999999996</v>
      </c>
      <c r="J13" s="324"/>
      <c r="K13" s="324"/>
      <c r="L13" s="324">
        <v>136.66999999999999</v>
      </c>
      <c r="M13" s="324"/>
    </row>
    <row r="14" spans="1:14" ht="15">
      <c r="A14" s="204"/>
      <c r="B14" s="205" t="s">
        <v>360</v>
      </c>
      <c r="C14" s="206" t="s">
        <v>364</v>
      </c>
      <c r="D14" s="200">
        <v>1</v>
      </c>
      <c r="E14" s="200">
        <f t="shared" si="2"/>
        <v>12</v>
      </c>
      <c r="F14" s="207">
        <f t="shared" si="3"/>
        <v>33.56</v>
      </c>
      <c r="G14" s="202">
        <f t="shared" si="0"/>
        <v>43.05</v>
      </c>
      <c r="H14" s="203">
        <f t="shared" si="1"/>
        <v>516.6</v>
      </c>
      <c r="J14" s="324">
        <v>25</v>
      </c>
      <c r="K14" s="324"/>
      <c r="L14" s="324">
        <v>42.12</v>
      </c>
      <c r="M14" s="324"/>
    </row>
    <row r="15" spans="1:14" ht="15">
      <c r="A15" s="204"/>
      <c r="B15" s="205" t="s">
        <v>361</v>
      </c>
      <c r="C15" s="206" t="s">
        <v>364</v>
      </c>
      <c r="D15" s="200">
        <v>1</v>
      </c>
      <c r="E15" s="200">
        <f t="shared" si="2"/>
        <v>12</v>
      </c>
      <c r="F15" s="207">
        <f t="shared" si="3"/>
        <v>57.03</v>
      </c>
      <c r="G15" s="202">
        <f t="shared" si="0"/>
        <v>73.150000000000006</v>
      </c>
      <c r="H15" s="203">
        <f t="shared" si="1"/>
        <v>877.8</v>
      </c>
      <c r="J15" s="324">
        <v>28.08</v>
      </c>
      <c r="K15" s="324"/>
      <c r="L15" s="324">
        <v>85.98</v>
      </c>
      <c r="M15" s="324"/>
    </row>
    <row r="16" spans="1:14" ht="15">
      <c r="A16" s="204"/>
      <c r="B16" s="205" t="s">
        <v>661</v>
      </c>
      <c r="C16" s="206" t="s">
        <v>364</v>
      </c>
      <c r="D16" s="200">
        <v>2</v>
      </c>
      <c r="E16" s="200">
        <f t="shared" si="2"/>
        <v>24</v>
      </c>
      <c r="F16" s="207">
        <f t="shared" si="3"/>
        <v>53.28</v>
      </c>
      <c r="G16" s="202">
        <f t="shared" si="0"/>
        <v>68.34</v>
      </c>
      <c r="H16" s="203">
        <f t="shared" si="1"/>
        <v>1640.16</v>
      </c>
      <c r="J16" s="324"/>
      <c r="K16" s="324"/>
      <c r="L16" s="324">
        <v>56.57</v>
      </c>
      <c r="M16" s="324">
        <v>50</v>
      </c>
    </row>
    <row r="17" spans="1:18" ht="15">
      <c r="A17" s="204"/>
      <c r="B17" s="205" t="s">
        <v>662</v>
      </c>
      <c r="C17" s="206" t="s">
        <v>364</v>
      </c>
      <c r="D17" s="200">
        <v>2</v>
      </c>
      <c r="E17" s="200">
        <f t="shared" si="2"/>
        <v>24</v>
      </c>
      <c r="F17" s="207">
        <f t="shared" si="3"/>
        <v>69.34</v>
      </c>
      <c r="G17" s="202">
        <f t="shared" si="0"/>
        <v>88.94</v>
      </c>
      <c r="H17" s="203">
        <f t="shared" si="1"/>
        <v>2134.56</v>
      </c>
      <c r="J17" s="324"/>
      <c r="K17" s="324"/>
      <c r="L17" s="324">
        <v>95.69</v>
      </c>
      <c r="M17" s="324">
        <v>43</v>
      </c>
    </row>
    <row r="18" spans="1:18" ht="15">
      <c r="A18" s="216">
        <v>38</v>
      </c>
      <c r="B18" s="218" t="s">
        <v>333</v>
      </c>
      <c r="C18" s="206"/>
      <c r="D18" s="200"/>
      <c r="E18" s="200"/>
      <c r="F18" s="207"/>
      <c r="G18" s="202"/>
      <c r="H18" s="451">
        <f>H19</f>
        <v>1905.6</v>
      </c>
      <c r="J18" s="324"/>
      <c r="K18" s="324" t="s">
        <v>668</v>
      </c>
      <c r="L18" s="324" t="s">
        <v>669</v>
      </c>
      <c r="M18" s="324"/>
    </row>
    <row r="19" spans="1:18" ht="30">
      <c r="A19" s="204"/>
      <c r="B19" s="205" t="s">
        <v>667</v>
      </c>
      <c r="C19" s="206" t="s">
        <v>642</v>
      </c>
      <c r="D19" s="200">
        <v>10</v>
      </c>
      <c r="E19" s="200">
        <f>D19*12</f>
        <v>120</v>
      </c>
      <c r="F19" s="207">
        <f>TRUNC(AVERAGE(J19:M19),2)</f>
        <v>12.38</v>
      </c>
      <c r="G19" s="202">
        <f t="shared" si="0"/>
        <v>15.88</v>
      </c>
      <c r="H19" s="203">
        <f>TRUNC(E19*G19,2)</f>
        <v>1905.6</v>
      </c>
      <c r="J19" s="324">
        <v>10.25</v>
      </c>
      <c r="K19" s="324">
        <v>6.9</v>
      </c>
      <c r="L19" s="324">
        <v>20</v>
      </c>
      <c r="M19" s="324"/>
    </row>
    <row r="20" spans="1:18" ht="15">
      <c r="A20" s="216">
        <v>39</v>
      </c>
      <c r="B20" s="218" t="s">
        <v>334</v>
      </c>
      <c r="C20" s="206" t="s">
        <v>364</v>
      </c>
      <c r="D20" s="208" t="s">
        <v>343</v>
      </c>
      <c r="E20" s="200">
        <v>1</v>
      </c>
      <c r="F20" s="207">
        <v>3000</v>
      </c>
      <c r="G20" s="202">
        <f t="shared" si="0"/>
        <v>3848.1</v>
      </c>
      <c r="H20" s="451">
        <f t="shared" si="1"/>
        <v>3848.1</v>
      </c>
      <c r="J20" s="324"/>
      <c r="K20" s="324"/>
      <c r="L20" s="324"/>
      <c r="M20" s="324"/>
    </row>
    <row r="21" spans="1:18" ht="15.75" customHeight="1">
      <c r="A21" s="219">
        <v>40</v>
      </c>
      <c r="B21" s="218" t="s">
        <v>347</v>
      </c>
      <c r="C21" s="206"/>
      <c r="D21" s="208"/>
      <c r="E21" s="200"/>
      <c r="F21" s="207"/>
      <c r="G21" s="202"/>
      <c r="H21" s="451">
        <f>ROUND(SUM(H22:H25),2)</f>
        <v>19871.95</v>
      </c>
      <c r="J21" s="324"/>
      <c r="K21" s="324"/>
      <c r="L21" s="324"/>
      <c r="M21" s="324"/>
    </row>
    <row r="22" spans="1:18" ht="15.75" customHeight="1">
      <c r="A22" s="204"/>
      <c r="B22" s="205" t="s">
        <v>350</v>
      </c>
      <c r="C22" s="206" t="s">
        <v>321</v>
      </c>
      <c r="D22" s="208"/>
      <c r="E22" s="200">
        <v>25</v>
      </c>
      <c r="F22" s="207">
        <f t="shared" ref="F22:F23" si="4">TRUNC(AVERAGE(J22:M22),2)</f>
        <v>153.4</v>
      </c>
      <c r="G22" s="202">
        <f t="shared" si="0"/>
        <v>196.77</v>
      </c>
      <c r="H22" s="203">
        <f t="shared" si="1"/>
        <v>4919.25</v>
      </c>
      <c r="J22" s="324">
        <v>153.4</v>
      </c>
      <c r="K22" s="324"/>
      <c r="L22" s="324"/>
      <c r="M22" s="324"/>
    </row>
    <row r="23" spans="1:18" ht="15.75" customHeight="1">
      <c r="A23" s="204"/>
      <c r="B23" s="205" t="s">
        <v>351</v>
      </c>
      <c r="C23" s="206" t="s">
        <v>321</v>
      </c>
      <c r="D23" s="208"/>
      <c r="E23" s="200">
        <v>25</v>
      </c>
      <c r="F23" s="207">
        <f t="shared" si="4"/>
        <v>312.06</v>
      </c>
      <c r="G23" s="202">
        <f t="shared" si="0"/>
        <v>400.28</v>
      </c>
      <c r="H23" s="203">
        <f t="shared" si="1"/>
        <v>10007</v>
      </c>
      <c r="J23" s="324"/>
      <c r="K23" s="324">
        <f>6702/Q23</f>
        <v>294.33465085639006</v>
      </c>
      <c r="L23" s="324">
        <f>8353.74/Q23</f>
        <v>366.87483530961799</v>
      </c>
      <c r="M23" s="324">
        <v>275</v>
      </c>
      <c r="N23" t="s">
        <v>670</v>
      </c>
      <c r="Q23">
        <f>3*3.3*2.3</f>
        <v>22.769999999999996</v>
      </c>
      <c r="R23" t="s">
        <v>321</v>
      </c>
    </row>
    <row r="24" spans="1:18" ht="15.75" customHeight="1">
      <c r="A24" s="204"/>
      <c r="B24" s="205" t="s">
        <v>352</v>
      </c>
      <c r="C24" s="206" t="s">
        <v>321</v>
      </c>
      <c r="D24" s="208"/>
      <c r="E24" s="200">
        <v>100</v>
      </c>
      <c r="F24" s="207">
        <f>TRUNC(AVERAGE(J24:M24),2)</f>
        <v>28.56</v>
      </c>
      <c r="G24" s="202">
        <f t="shared" si="0"/>
        <v>36.630000000000003</v>
      </c>
      <c r="H24" s="203">
        <f t="shared" si="1"/>
        <v>3663</v>
      </c>
      <c r="J24" s="324">
        <v>22.5</v>
      </c>
      <c r="K24" s="324">
        <f>400/Q24</f>
        <v>17.094017094017094</v>
      </c>
      <c r="L24" s="324">
        <f>1100/Q24</f>
        <v>47.008547008547012</v>
      </c>
      <c r="M24" s="324">
        <f>647/Q24</f>
        <v>27.649572649572651</v>
      </c>
      <c r="N24" t="s">
        <v>671</v>
      </c>
      <c r="Q24">
        <f>9.75*2.4</f>
        <v>23.4</v>
      </c>
      <c r="R24" t="s">
        <v>321</v>
      </c>
    </row>
    <row r="25" spans="1:18" ht="15.75" customHeight="1">
      <c r="A25" s="204"/>
      <c r="B25" s="205" t="s">
        <v>353</v>
      </c>
      <c r="C25" s="206" t="s">
        <v>364</v>
      </c>
      <c r="D25" s="208"/>
      <c r="E25" s="200">
        <v>1</v>
      </c>
      <c r="F25" s="207">
        <v>1000</v>
      </c>
      <c r="G25" s="202">
        <f t="shared" si="0"/>
        <v>1282.7</v>
      </c>
      <c r="H25" s="203">
        <f t="shared" si="1"/>
        <v>1282.7</v>
      </c>
      <c r="J25" s="324"/>
      <c r="K25" s="324"/>
      <c r="L25" s="324"/>
      <c r="M25" s="324"/>
    </row>
    <row r="26" spans="1:18" ht="15.75" customHeight="1">
      <c r="A26" s="219">
        <v>41</v>
      </c>
      <c r="B26" s="218" t="s">
        <v>363</v>
      </c>
      <c r="C26" s="206"/>
      <c r="D26" s="208"/>
      <c r="E26" s="200"/>
      <c r="F26" s="207"/>
      <c r="G26" s="202"/>
      <c r="H26" s="451">
        <f>H27+H28</f>
        <v>47203.6</v>
      </c>
      <c r="J26" s="324"/>
      <c r="K26" s="324"/>
      <c r="L26" s="324"/>
      <c r="M26" s="324" t="s">
        <v>666</v>
      </c>
    </row>
    <row r="27" spans="1:18" ht="15.75" customHeight="1">
      <c r="A27" s="204"/>
      <c r="B27" s="205" t="s">
        <v>672</v>
      </c>
      <c r="C27" s="206" t="s">
        <v>364</v>
      </c>
      <c r="D27" s="208">
        <v>20</v>
      </c>
      <c r="E27" s="200">
        <f>D27*12</f>
        <v>240</v>
      </c>
      <c r="F27" s="207">
        <f>TRUNC(AVERAGE(J27:M27),2)</f>
        <v>70</v>
      </c>
      <c r="G27" s="202">
        <f t="shared" si="0"/>
        <v>89.79</v>
      </c>
      <c r="H27" s="203">
        <f t="shared" si="1"/>
        <v>21549.599999999999</v>
      </c>
      <c r="J27" s="324"/>
      <c r="K27" s="324"/>
      <c r="L27" s="324"/>
      <c r="M27" s="324">
        <v>70</v>
      </c>
    </row>
    <row r="28" spans="1:18" ht="15.75" customHeight="1">
      <c r="A28" s="204"/>
      <c r="B28" s="205" t="s">
        <v>746</v>
      </c>
      <c r="C28" s="206" t="s">
        <v>364</v>
      </c>
      <c r="D28" s="208"/>
      <c r="E28" s="200">
        <v>1</v>
      </c>
      <c r="F28" s="207">
        <v>20000</v>
      </c>
      <c r="G28" s="202">
        <f t="shared" si="0"/>
        <v>25654</v>
      </c>
      <c r="H28" s="203">
        <f t="shared" si="1"/>
        <v>25654</v>
      </c>
      <c r="J28" s="324"/>
      <c r="K28" s="324"/>
      <c r="L28" s="324"/>
      <c r="M28" s="324"/>
    </row>
    <row r="29" spans="1:18" ht="15.75" customHeight="1">
      <c r="A29" s="219">
        <v>42</v>
      </c>
      <c r="B29" s="218" t="s">
        <v>680</v>
      </c>
      <c r="C29" s="206"/>
      <c r="D29" s="208"/>
      <c r="E29" s="200"/>
      <c r="F29" s="207"/>
      <c r="G29" s="202"/>
      <c r="H29" s="451">
        <f>H30</f>
        <v>6300</v>
      </c>
      <c r="J29" s="324"/>
      <c r="K29" s="324" t="s">
        <v>679</v>
      </c>
      <c r="L29" s="324" t="s">
        <v>681</v>
      </c>
      <c r="M29" s="324" t="s">
        <v>683</v>
      </c>
    </row>
    <row r="30" spans="1:18" ht="29.25" customHeight="1">
      <c r="A30" s="204"/>
      <c r="B30" s="205" t="s">
        <v>678</v>
      </c>
      <c r="C30" s="206" t="s">
        <v>682</v>
      </c>
      <c r="D30" s="208"/>
      <c r="E30" s="200">
        <v>7000</v>
      </c>
      <c r="F30" s="207">
        <f>TRUNC(AVERAGE(K30:M30),2)</f>
        <v>0.7</v>
      </c>
      <c r="G30" s="202">
        <f t="shared" ref="G30" si="5">ROUND(($G$4*F30)+F30,2)</f>
        <v>0.9</v>
      </c>
      <c r="H30" s="203">
        <f t="shared" ref="H30" si="6">TRUNC(E30*G30,2)</f>
        <v>6300</v>
      </c>
      <c r="J30" s="324"/>
      <c r="K30" s="324">
        <f>58/50</f>
        <v>1.1599999999999999</v>
      </c>
      <c r="L30" s="324">
        <v>0.45</v>
      </c>
      <c r="M30" s="324">
        <v>0.5</v>
      </c>
    </row>
    <row r="31" spans="1:18" ht="15.75" customHeight="1">
      <c r="A31" s="708" t="s">
        <v>346</v>
      </c>
      <c r="B31" s="709"/>
      <c r="C31" s="709"/>
      <c r="D31" s="709"/>
      <c r="E31" s="709"/>
      <c r="F31" s="709"/>
      <c r="G31" s="710"/>
      <c r="H31" s="209">
        <f>H5+H8+H18+H20+H21+H26+H29</f>
        <v>105485.81</v>
      </c>
    </row>
    <row r="32" spans="1:18" ht="15">
      <c r="A32" s="210"/>
      <c r="B32" s="211"/>
      <c r="C32" s="210"/>
      <c r="D32" s="212"/>
      <c r="E32" s="212"/>
      <c r="F32" s="212"/>
      <c r="G32" s="212"/>
      <c r="H32" s="212"/>
    </row>
    <row r="33" spans="1:8" ht="15">
      <c r="A33" s="711" t="s">
        <v>166</v>
      </c>
      <c r="B33" s="712"/>
      <c r="C33" s="712"/>
      <c r="D33" s="712"/>
      <c r="E33" s="712"/>
      <c r="F33" s="712"/>
      <c r="G33" s="713"/>
      <c r="H33" s="213">
        <f>TRUNC(H31/12,2)</f>
        <v>8790.48</v>
      </c>
    </row>
    <row r="34" spans="1:8" ht="15">
      <c r="A34" s="27"/>
      <c r="B34" s="33"/>
      <c r="C34" s="27"/>
      <c r="D34" s="27"/>
      <c r="E34" s="27"/>
      <c r="F34" s="27"/>
      <c r="G34" s="27"/>
      <c r="H34" s="27"/>
    </row>
    <row r="35" spans="1:8" ht="15">
      <c r="A35" s="715" t="s">
        <v>305</v>
      </c>
      <c r="B35" s="715"/>
      <c r="C35" s="715"/>
      <c r="D35" s="715"/>
      <c r="E35" s="715"/>
      <c r="F35" s="27"/>
      <c r="G35" s="27"/>
      <c r="H35" s="27"/>
    </row>
    <row r="36" spans="1:8" ht="15">
      <c r="A36" s="714" t="s">
        <v>70</v>
      </c>
      <c r="B36" s="714"/>
      <c r="C36" s="714"/>
      <c r="D36" s="714"/>
      <c r="E36" s="714"/>
      <c r="F36" s="27"/>
      <c r="G36" s="27"/>
      <c r="H36" s="27"/>
    </row>
    <row r="37" spans="1:8" ht="15">
      <c r="A37" s="11">
        <v>6</v>
      </c>
      <c r="B37" s="574" t="s">
        <v>70</v>
      </c>
      <c r="C37" s="574"/>
      <c r="D37" s="581" t="s">
        <v>86</v>
      </c>
      <c r="E37" s="581"/>
      <c r="F37" s="27"/>
      <c r="G37" s="27"/>
      <c r="H37" s="27"/>
    </row>
    <row r="38" spans="1:8" ht="15">
      <c r="A38" s="10" t="s">
        <v>3</v>
      </c>
      <c r="B38" s="575" t="s">
        <v>71</v>
      </c>
      <c r="C38" s="575"/>
      <c r="D38" s="728">
        <v>0.03</v>
      </c>
      <c r="E38" s="728"/>
      <c r="F38" s="27"/>
      <c r="G38" s="27"/>
      <c r="H38" s="27"/>
    </row>
    <row r="39" spans="1:8" ht="15">
      <c r="A39" s="10" t="s">
        <v>5</v>
      </c>
      <c r="B39" s="575" t="s">
        <v>72</v>
      </c>
      <c r="C39" s="575"/>
      <c r="D39" s="728">
        <v>6.7900000000000002E-2</v>
      </c>
      <c r="E39" s="728"/>
      <c r="F39" s="27"/>
      <c r="G39" s="27"/>
      <c r="H39" s="27"/>
    </row>
    <row r="40" spans="1:8" ht="15">
      <c r="A40" s="11" t="s">
        <v>8</v>
      </c>
      <c r="B40" s="701" t="s">
        <v>73</v>
      </c>
      <c r="C40" s="701"/>
      <c r="D40" s="729">
        <f>TRUNC(SUM(D41:D43),4)</f>
        <v>0.14249999999999999</v>
      </c>
      <c r="E40" s="729"/>
      <c r="F40" s="27"/>
      <c r="G40" s="27"/>
      <c r="H40" s="27"/>
    </row>
    <row r="41" spans="1:8" ht="15">
      <c r="A41" s="10"/>
      <c r="B41" s="575" t="s">
        <v>458</v>
      </c>
      <c r="C41" s="575"/>
      <c r="D41" s="728">
        <f>MC!$C$95</f>
        <v>1.6500000000000001E-2</v>
      </c>
      <c r="E41" s="728"/>
      <c r="F41" s="27"/>
      <c r="G41" s="27"/>
      <c r="H41" s="27"/>
    </row>
    <row r="42" spans="1:8" ht="15">
      <c r="A42" s="10"/>
      <c r="B42" s="575" t="s">
        <v>459</v>
      </c>
      <c r="C42" s="575"/>
      <c r="D42" s="728">
        <f>MC!$C$94</f>
        <v>7.5999999999999998E-2</v>
      </c>
      <c r="E42" s="728"/>
      <c r="F42" s="27"/>
      <c r="G42" s="27"/>
      <c r="H42" s="27"/>
    </row>
    <row r="43" spans="1:8" ht="15">
      <c r="A43" s="38"/>
      <c r="B43" s="575" t="s">
        <v>460</v>
      </c>
      <c r="C43" s="575"/>
      <c r="D43" s="728">
        <f>MC!C93</f>
        <v>0.05</v>
      </c>
      <c r="E43" s="728"/>
      <c r="F43" s="27"/>
      <c r="G43" s="27"/>
      <c r="H43" s="27"/>
    </row>
    <row r="44" spans="1:8" ht="15">
      <c r="A44" s="581" t="s">
        <v>75</v>
      </c>
      <c r="B44" s="581"/>
      <c r="C44" s="581"/>
      <c r="D44" s="726">
        <f>TRUNC((D38+D39+D40),4)</f>
        <v>0.2404</v>
      </c>
      <c r="E44" s="726"/>
      <c r="F44" s="27"/>
      <c r="G44" s="27"/>
      <c r="H44" s="27"/>
    </row>
    <row r="45" spans="1:8" ht="15">
      <c r="A45" s="704" t="s">
        <v>306</v>
      </c>
      <c r="B45" s="704"/>
      <c r="C45" s="704"/>
      <c r="D45" s="727">
        <f>TRUNC( (1+D38) * (1+D39) / (1-D40) -1,4)</f>
        <v>0.28270000000000001</v>
      </c>
      <c r="E45" s="727"/>
      <c r="F45" s="27"/>
      <c r="G45" s="27"/>
      <c r="H45" s="27"/>
    </row>
    <row r="46" spans="1:8" ht="15">
      <c r="A46" s="697"/>
      <c r="B46" s="697"/>
      <c r="C46" s="697"/>
      <c r="D46" s="697"/>
      <c r="E46" s="697"/>
      <c r="F46" s="27"/>
      <c r="G46" s="27"/>
      <c r="H46" s="27"/>
    </row>
    <row r="47" spans="1:8" ht="15">
      <c r="A47" s="697"/>
      <c r="B47" s="697"/>
      <c r="C47" s="697"/>
      <c r="D47" s="697"/>
      <c r="E47" s="697"/>
      <c r="F47" s="27"/>
      <c r="G47" s="27"/>
      <c r="H47" s="27"/>
    </row>
    <row r="48" spans="1:8" ht="15">
      <c r="A48" s="27"/>
      <c r="B48" s="33"/>
      <c r="C48" s="27"/>
      <c r="D48" s="27"/>
      <c r="E48" s="27"/>
      <c r="F48" s="27"/>
      <c r="G48" s="27"/>
      <c r="H48" s="27"/>
    </row>
    <row r="49" spans="1:8" ht="15">
      <c r="A49" s="744"/>
      <c r="B49" s="744"/>
      <c r="C49" s="744"/>
      <c r="D49" s="744"/>
      <c r="E49" s="744"/>
      <c r="F49" s="744"/>
      <c r="G49" s="744"/>
      <c r="H49" s="744"/>
    </row>
    <row r="50" spans="1:8" ht="15">
      <c r="A50" s="214"/>
      <c r="B50" s="214"/>
      <c r="C50" s="8"/>
      <c r="D50" s="8"/>
      <c r="E50" s="8"/>
      <c r="F50" s="8"/>
      <c r="G50" s="27"/>
      <c r="H50" s="27"/>
    </row>
    <row r="51" spans="1:8" ht="15">
      <c r="A51" s="214"/>
      <c r="B51" s="214"/>
      <c r="C51" s="8"/>
      <c r="D51" s="8"/>
      <c r="E51" s="8"/>
      <c r="F51" s="8"/>
      <c r="G51" s="27"/>
      <c r="H51" s="27"/>
    </row>
    <row r="52" spans="1:8" ht="15">
      <c r="A52" s="214"/>
      <c r="B52" s="214"/>
      <c r="C52" s="8"/>
      <c r="D52" s="8"/>
      <c r="E52" s="8"/>
      <c r="F52" s="8"/>
      <c r="G52" s="27"/>
      <c r="H52" s="27"/>
    </row>
    <row r="53" spans="1:8" ht="15">
      <c r="A53" s="745"/>
      <c r="B53" s="745"/>
      <c r="C53" s="745"/>
      <c r="D53" s="745"/>
      <c r="E53" s="745"/>
      <c r="F53" s="745"/>
      <c r="G53" s="745"/>
      <c r="H53" s="745"/>
    </row>
    <row r="54" spans="1:8" ht="15.75" customHeight="1">
      <c r="A54" s="744"/>
      <c r="B54" s="744"/>
      <c r="C54" s="744"/>
      <c r="D54" s="744"/>
      <c r="E54" s="744"/>
      <c r="F54" s="744"/>
      <c r="G54" s="744"/>
      <c r="H54" s="744"/>
    </row>
    <row r="55" spans="1:8" ht="15.75" customHeight="1">
      <c r="A55" s="658"/>
      <c r="B55" s="658"/>
      <c r="C55" s="658"/>
      <c r="D55" s="658"/>
      <c r="E55" s="658"/>
      <c r="F55" s="658"/>
      <c r="G55" s="658"/>
      <c r="H55" s="658"/>
    </row>
  </sheetData>
  <mergeCells count="37">
    <mergeCell ref="J3:M3"/>
    <mergeCell ref="A2:H2"/>
    <mergeCell ref="A3:A4"/>
    <mergeCell ref="B3:B4"/>
    <mergeCell ref="C3:C4"/>
    <mergeCell ref="D3:D4"/>
    <mergeCell ref="E3:E4"/>
    <mergeCell ref="F3:F4"/>
    <mergeCell ref="H3:H4"/>
    <mergeCell ref="A31:G31"/>
    <mergeCell ref="A33:G33"/>
    <mergeCell ref="A35:E35"/>
    <mergeCell ref="A36:E36"/>
    <mergeCell ref="B37:C37"/>
    <mergeCell ref="D37:E37"/>
    <mergeCell ref="B38:C38"/>
    <mergeCell ref="D38:E38"/>
    <mergeCell ref="B39:C39"/>
    <mergeCell ref="D39:E39"/>
    <mergeCell ref="B40:C40"/>
    <mergeCell ref="D40:E40"/>
    <mergeCell ref="B41:C41"/>
    <mergeCell ref="D41:E41"/>
    <mergeCell ref="B42:C42"/>
    <mergeCell ref="D42:E42"/>
    <mergeCell ref="B43:C43"/>
    <mergeCell ref="D43:E43"/>
    <mergeCell ref="A49:H49"/>
    <mergeCell ref="A53:H53"/>
    <mergeCell ref="A54:H54"/>
    <mergeCell ref="A55:H55"/>
    <mergeCell ref="A44:C44"/>
    <mergeCell ref="D44:E44"/>
    <mergeCell ref="A45:C45"/>
    <mergeCell ref="D45:E45"/>
    <mergeCell ref="A46:E46"/>
    <mergeCell ref="A47:E47"/>
  </mergeCells>
  <phoneticPr fontId="49" type="noConversion"/>
  <pageMargins left="0.19685039370078741" right="0.19685039370078741" top="0.98425196850393704" bottom="0.78740157480314965" header="0.31496062992125984" footer="0.31496062992125984"/>
  <pageSetup paperSize="9" scale="3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J108"/>
  <sheetViews>
    <sheetView zoomScaleNormal="100" zoomScaleSheetLayoutView="100" workbookViewId="0">
      <selection activeCell="C96" sqref="C96"/>
    </sheetView>
  </sheetViews>
  <sheetFormatPr defaultRowHeight="15"/>
  <cols>
    <col min="1" max="1" width="10.7109375" customWidth="1"/>
    <col min="2" max="2" width="45.7109375" customWidth="1"/>
    <col min="3" max="4" width="10.7109375" customWidth="1"/>
    <col min="5" max="5" width="70.5703125" customWidth="1"/>
    <col min="7" max="7" width="13.7109375" customWidth="1"/>
    <col min="8" max="8" width="12" customWidth="1"/>
    <col min="9" max="9" width="13.5703125" customWidth="1"/>
    <col min="10" max="10" width="14.85546875" customWidth="1"/>
  </cols>
  <sheetData>
    <row r="1" spans="1:10" ht="20.25">
      <c r="A1" s="511" t="s">
        <v>96</v>
      </c>
      <c r="B1" s="511"/>
      <c r="C1" s="511"/>
      <c r="D1" s="511"/>
      <c r="E1" s="511"/>
    </row>
    <row r="2" spans="1:10" ht="15.75">
      <c r="A2" s="44"/>
      <c r="B2" s="44"/>
      <c r="C2" s="44"/>
      <c r="D2" s="44"/>
      <c r="E2" s="44"/>
      <c r="G2" s="490" t="s">
        <v>673</v>
      </c>
      <c r="H2" s="490"/>
      <c r="I2" s="490"/>
      <c r="J2" s="490"/>
    </row>
    <row r="3" spans="1:10" ht="30">
      <c r="A3" s="512" t="s">
        <v>97</v>
      </c>
      <c r="B3" s="513"/>
      <c r="C3" s="513"/>
      <c r="D3" s="513"/>
      <c r="E3" s="514"/>
      <c r="G3" s="192" t="s">
        <v>674</v>
      </c>
      <c r="H3" s="192" t="s">
        <v>676</v>
      </c>
      <c r="I3" s="192" t="s">
        <v>677</v>
      </c>
      <c r="J3" s="192" t="s">
        <v>675</v>
      </c>
    </row>
    <row r="4" spans="1:10" ht="171.75" customHeight="1">
      <c r="A4" s="507" t="s">
        <v>734</v>
      </c>
      <c r="B4" s="515"/>
      <c r="C4" s="515"/>
      <c r="D4" s="515"/>
      <c r="E4" s="508"/>
      <c r="G4" s="324">
        <v>5402.55</v>
      </c>
      <c r="H4" s="324">
        <v>5291.87</v>
      </c>
      <c r="I4" s="324">
        <v>5500</v>
      </c>
      <c r="J4" s="448">
        <f>ROUND(AVERAGE(G4:I4),2)</f>
        <v>5398.14</v>
      </c>
    </row>
    <row r="5" spans="1:10" ht="15.75">
      <c r="A5" s="44"/>
      <c r="B5" s="44"/>
      <c r="C5" s="44"/>
      <c r="D5" s="44"/>
      <c r="E5" s="44"/>
    </row>
    <row r="6" spans="1:10" ht="18">
      <c r="A6" s="512" t="s">
        <v>98</v>
      </c>
      <c r="B6" s="513"/>
      <c r="C6" s="513"/>
      <c r="D6" s="513"/>
      <c r="E6" s="514"/>
    </row>
    <row r="7" spans="1:10" ht="15.75">
      <c r="A7" s="504" t="s">
        <v>99</v>
      </c>
      <c r="B7" s="505"/>
      <c r="C7" s="505"/>
      <c r="D7" s="505"/>
      <c r="E7" s="506"/>
    </row>
    <row r="8" spans="1:10" ht="31.5">
      <c r="A8" s="153" t="s">
        <v>24</v>
      </c>
      <c r="B8" s="153" t="s">
        <v>100</v>
      </c>
      <c r="C8" s="153" t="s">
        <v>101</v>
      </c>
      <c r="D8" s="153" t="s">
        <v>74</v>
      </c>
      <c r="E8" s="153" t="s">
        <v>102</v>
      </c>
    </row>
    <row r="9" spans="1:10" ht="31.5">
      <c r="A9" s="45" t="s">
        <v>3</v>
      </c>
      <c r="B9" s="46" t="s">
        <v>26</v>
      </c>
      <c r="C9" s="47" t="s">
        <v>103</v>
      </c>
      <c r="D9" s="108">
        <f>TRUNC(1/12,4)</f>
        <v>8.3299999999999999E-2</v>
      </c>
      <c r="E9" s="48" t="s">
        <v>373</v>
      </c>
    </row>
    <row r="10" spans="1:10" ht="31.5">
      <c r="A10" s="45" t="s">
        <v>5</v>
      </c>
      <c r="B10" s="46" t="s">
        <v>216</v>
      </c>
      <c r="C10" s="47" t="s">
        <v>103</v>
      </c>
      <c r="D10" s="108">
        <f>ROUND((1/12/3),4)</f>
        <v>2.7799999999999998E-2</v>
      </c>
      <c r="E10" s="48" t="s">
        <v>374</v>
      </c>
    </row>
    <row r="11" spans="1:10" ht="15.75">
      <c r="A11" s="503" t="s">
        <v>104</v>
      </c>
      <c r="B11" s="503"/>
      <c r="C11" s="503"/>
      <c r="D11" s="151">
        <f>TRUNC(SUM(D9:D10),4)</f>
        <v>0.1111</v>
      </c>
      <c r="E11" s="152" t="s">
        <v>105</v>
      </c>
    </row>
    <row r="12" spans="1:10" ht="31.5">
      <c r="A12" s="45" t="s">
        <v>8</v>
      </c>
      <c r="B12" s="46" t="s">
        <v>218</v>
      </c>
      <c r="C12" s="47" t="s">
        <v>103</v>
      </c>
      <c r="D12" s="108">
        <f>TRUNC(D26*D11,4)</f>
        <v>4.4200000000000003E-2</v>
      </c>
      <c r="E12" s="48" t="s">
        <v>106</v>
      </c>
    </row>
    <row r="13" spans="1:10" ht="15.75">
      <c r="A13" s="503" t="str">
        <f>A28</f>
        <v>Submódulo 2.3 Beneficios Mensais e Diarios</v>
      </c>
      <c r="B13" s="503"/>
      <c r="C13" s="503"/>
      <c r="D13" s="151">
        <f>TRUNC(SUM(D11:D12),4)</f>
        <v>0.15529999999999999</v>
      </c>
      <c r="E13" s="152" t="s">
        <v>105</v>
      </c>
    </row>
    <row r="14" spans="1:10" ht="15.75">
      <c r="A14" s="49"/>
      <c r="B14" s="49"/>
      <c r="C14" s="49"/>
      <c r="D14" s="49"/>
      <c r="E14" s="49"/>
    </row>
    <row r="15" spans="1:10" ht="15.75">
      <c r="A15" s="504" t="s">
        <v>107</v>
      </c>
      <c r="B15" s="505"/>
      <c r="C15" s="505"/>
      <c r="D15" s="505"/>
      <c r="E15" s="506"/>
    </row>
    <row r="16" spans="1:10" ht="15.75">
      <c r="A16" s="153" t="s">
        <v>30</v>
      </c>
      <c r="B16" s="503" t="s">
        <v>108</v>
      </c>
      <c r="C16" s="503"/>
      <c r="D16" s="153" t="s">
        <v>74</v>
      </c>
      <c r="E16" s="153" t="s">
        <v>102</v>
      </c>
    </row>
    <row r="17" spans="1:5" ht="15.75">
      <c r="A17" s="45" t="s">
        <v>3</v>
      </c>
      <c r="B17" s="507" t="s">
        <v>109</v>
      </c>
      <c r="C17" s="508"/>
      <c r="D17" s="108">
        <f>TRUNC(20%,4)</f>
        <v>0.2</v>
      </c>
      <c r="E17" s="48" t="s">
        <v>375</v>
      </c>
    </row>
    <row r="18" spans="1:5" ht="31.5">
      <c r="A18" s="45" t="s">
        <v>5</v>
      </c>
      <c r="B18" s="507" t="s">
        <v>110</v>
      </c>
      <c r="C18" s="508"/>
      <c r="D18" s="108">
        <f>TRUNC(2.5%,4)</f>
        <v>2.5000000000000001E-2</v>
      </c>
      <c r="E18" s="48" t="s">
        <v>376</v>
      </c>
    </row>
    <row r="19" spans="1:5" ht="91.5" customHeight="1">
      <c r="A19" s="509" t="s">
        <v>8</v>
      </c>
      <c r="B19" s="516" t="s">
        <v>372</v>
      </c>
      <c r="C19" s="517"/>
      <c r="D19" s="520">
        <f>TRUNC(3*2%,4)</f>
        <v>0.06</v>
      </c>
      <c r="E19" s="48" t="s">
        <v>382</v>
      </c>
    </row>
    <row r="20" spans="1:5" ht="61.5" customHeight="1">
      <c r="A20" s="510"/>
      <c r="B20" s="518"/>
      <c r="C20" s="519"/>
      <c r="D20" s="521"/>
      <c r="E20" s="48" t="s">
        <v>383</v>
      </c>
    </row>
    <row r="21" spans="1:5" ht="15.75">
      <c r="A21" s="45" t="s">
        <v>10</v>
      </c>
      <c r="B21" s="507" t="s">
        <v>111</v>
      </c>
      <c r="C21" s="508"/>
      <c r="D21" s="108">
        <f>TRUNC(1.5%,4)</f>
        <v>1.4999999999999999E-2</v>
      </c>
      <c r="E21" s="48" t="s">
        <v>377</v>
      </c>
    </row>
    <row r="22" spans="1:5" ht="15.75">
      <c r="A22" s="45" t="s">
        <v>12</v>
      </c>
      <c r="B22" s="507" t="s">
        <v>112</v>
      </c>
      <c r="C22" s="508"/>
      <c r="D22" s="108">
        <f>TRUNC(1%,4)</f>
        <v>0.01</v>
      </c>
      <c r="E22" s="48" t="s">
        <v>378</v>
      </c>
    </row>
    <row r="23" spans="1:5" ht="15.75">
      <c r="A23" s="45" t="s">
        <v>21</v>
      </c>
      <c r="B23" s="507" t="s">
        <v>37</v>
      </c>
      <c r="C23" s="508"/>
      <c r="D23" s="108">
        <f>TRUNC(0.6%,4)</f>
        <v>6.0000000000000001E-3</v>
      </c>
      <c r="E23" s="48" t="s">
        <v>379</v>
      </c>
    </row>
    <row r="24" spans="1:5" ht="15.75">
      <c r="A24" s="45" t="s">
        <v>22</v>
      </c>
      <c r="B24" s="507" t="s">
        <v>113</v>
      </c>
      <c r="C24" s="508"/>
      <c r="D24" s="108">
        <f>TRUNC(0.2%,4)</f>
        <v>2E-3</v>
      </c>
      <c r="E24" s="48" t="s">
        <v>380</v>
      </c>
    </row>
    <row r="25" spans="1:5" ht="15.75">
      <c r="A25" s="45" t="s">
        <v>39</v>
      </c>
      <c r="B25" s="507" t="s">
        <v>114</v>
      </c>
      <c r="C25" s="508"/>
      <c r="D25" s="108">
        <f>TRUNC(8%,4)</f>
        <v>0.08</v>
      </c>
      <c r="E25" s="48" t="s">
        <v>381</v>
      </c>
    </row>
    <row r="26" spans="1:5" ht="15.75">
      <c r="A26" s="504" t="s">
        <v>104</v>
      </c>
      <c r="B26" s="505"/>
      <c r="C26" s="506"/>
      <c r="D26" s="154">
        <f>TRUNC(SUM(D17:D25),4)</f>
        <v>0.39800000000000002</v>
      </c>
      <c r="E26" s="152" t="s">
        <v>115</v>
      </c>
    </row>
    <row r="27" spans="1:5" ht="15.75">
      <c r="A27" s="50"/>
      <c r="B27" s="50"/>
      <c r="C27" s="50"/>
      <c r="D27" s="51"/>
      <c r="E27" s="52"/>
    </row>
    <row r="28" spans="1:5" ht="15.75">
      <c r="A28" s="503" t="s">
        <v>116</v>
      </c>
      <c r="B28" s="503"/>
      <c r="C28" s="503"/>
      <c r="D28" s="503"/>
      <c r="E28" s="503"/>
    </row>
    <row r="29" spans="1:5" ht="15.75">
      <c r="A29" s="491" t="s">
        <v>482</v>
      </c>
      <c r="B29" s="491"/>
      <c r="C29" s="491"/>
      <c r="D29" s="491"/>
      <c r="E29" s="491"/>
    </row>
    <row r="30" spans="1:5" ht="15.75">
      <c r="A30" s="215"/>
      <c r="B30" s="54" t="s">
        <v>117</v>
      </c>
      <c r="C30" s="87">
        <f>(5.5+3.5)*2*D60</f>
        <v>377.64</v>
      </c>
      <c r="D30" s="87"/>
      <c r="E30" s="215"/>
    </row>
    <row r="31" spans="1:5" ht="15.75">
      <c r="A31" s="491" t="s">
        <v>461</v>
      </c>
      <c r="B31" s="491"/>
      <c r="C31" s="491"/>
      <c r="D31" s="491"/>
      <c r="E31" s="491"/>
    </row>
    <row r="32" spans="1:5" ht="15.75">
      <c r="A32" s="215"/>
      <c r="B32" s="54" t="s">
        <v>117</v>
      </c>
      <c r="C32" s="87">
        <f>(5.5+3.5)*2*D62</f>
        <v>270</v>
      </c>
      <c r="D32" s="87"/>
      <c r="E32" s="215"/>
    </row>
    <row r="33" spans="1:5" ht="15.75">
      <c r="A33" s="491" t="s">
        <v>468</v>
      </c>
      <c r="B33" s="491"/>
      <c r="C33" s="491"/>
      <c r="D33" s="491"/>
      <c r="E33" s="491"/>
    </row>
    <row r="34" spans="1:5" ht="15.75">
      <c r="A34" s="300"/>
      <c r="B34" s="54" t="s">
        <v>117</v>
      </c>
      <c r="C34" s="87">
        <v>44.3</v>
      </c>
      <c r="D34" s="87"/>
      <c r="E34" s="300" t="s">
        <v>384</v>
      </c>
    </row>
    <row r="35" spans="1:5" ht="15.75">
      <c r="A35" s="53"/>
      <c r="B35" s="54"/>
      <c r="C35" s="87">
        <v>47.52</v>
      </c>
      <c r="D35" s="87"/>
      <c r="E35" s="55" t="s">
        <v>385</v>
      </c>
    </row>
    <row r="36" spans="1:5" ht="31.5">
      <c r="A36" s="53"/>
      <c r="B36" s="54"/>
      <c r="C36" s="87">
        <f>47.37*0.98</f>
        <v>46.422599999999996</v>
      </c>
      <c r="D36" s="87"/>
      <c r="E36" s="95" t="s">
        <v>493</v>
      </c>
    </row>
    <row r="37" spans="1:5" ht="15.75">
      <c r="A37" s="53"/>
      <c r="B37" s="54"/>
      <c r="C37" s="87">
        <v>49</v>
      </c>
      <c r="D37" s="87"/>
      <c r="E37" s="95" t="s">
        <v>735</v>
      </c>
    </row>
    <row r="38" spans="1:5" ht="15.75">
      <c r="A38" s="53"/>
      <c r="B38" s="54"/>
      <c r="C38" s="87">
        <f>20.76-1.39</f>
        <v>19.37</v>
      </c>
      <c r="D38" s="87"/>
      <c r="E38" s="95" t="s">
        <v>737</v>
      </c>
    </row>
    <row r="39" spans="1:5" ht="15.75">
      <c r="A39" s="53"/>
      <c r="B39" s="54"/>
      <c r="C39" s="87"/>
      <c r="D39" s="87"/>
      <c r="E39" s="55"/>
    </row>
    <row r="40" spans="1:5" ht="15.75">
      <c r="A40" s="498" t="s">
        <v>463</v>
      </c>
      <c r="B40" s="499"/>
      <c r="C40" s="499"/>
      <c r="D40" s="499"/>
      <c r="E40" s="500"/>
    </row>
    <row r="41" spans="1:5" ht="15.75">
      <c r="A41" s="93"/>
      <c r="B41" s="54" t="s">
        <v>117</v>
      </c>
      <c r="C41" s="87">
        <v>200</v>
      </c>
      <c r="D41" s="94"/>
      <c r="E41" s="55" t="s">
        <v>384</v>
      </c>
    </row>
    <row r="42" spans="1:5" ht="15.75">
      <c r="A42" s="93"/>
      <c r="B42" s="54"/>
      <c r="C42" s="87">
        <v>193.77</v>
      </c>
      <c r="D42" s="94"/>
      <c r="E42" s="55" t="s">
        <v>385</v>
      </c>
    </row>
    <row r="43" spans="1:5" ht="15.75">
      <c r="A43" s="93"/>
      <c r="B43" s="54"/>
      <c r="C43" s="87">
        <v>164.05</v>
      </c>
      <c r="D43" s="94"/>
      <c r="E43" s="95" t="s">
        <v>462</v>
      </c>
    </row>
    <row r="44" spans="1:5" ht="15.75">
      <c r="A44" s="93"/>
      <c r="B44" s="54"/>
      <c r="C44" s="87">
        <v>305</v>
      </c>
      <c r="D44" s="94"/>
      <c r="E44" s="95" t="s">
        <v>716</v>
      </c>
    </row>
    <row r="45" spans="1:5" ht="15.75">
      <c r="A45" s="93"/>
      <c r="B45" s="54"/>
      <c r="C45" s="87">
        <f>ROUND((33.65*1.05),2)</f>
        <v>35.33</v>
      </c>
      <c r="D45" s="94"/>
      <c r="E45" s="95" t="s">
        <v>719</v>
      </c>
    </row>
    <row r="46" spans="1:5" ht="15.75">
      <c r="A46" s="501" t="s">
        <v>464</v>
      </c>
      <c r="B46" s="491"/>
      <c r="C46" s="491"/>
      <c r="D46" s="491"/>
      <c r="E46" s="502"/>
    </row>
    <row r="47" spans="1:5" ht="15.75">
      <c r="A47" s="93"/>
      <c r="B47" s="54" t="s">
        <v>117</v>
      </c>
      <c r="C47" s="87">
        <v>13.64</v>
      </c>
      <c r="D47" s="94"/>
      <c r="E47" s="55" t="s">
        <v>384</v>
      </c>
    </row>
    <row r="48" spans="1:5" ht="15.75">
      <c r="A48" s="93"/>
      <c r="B48" s="54"/>
      <c r="C48" s="87">
        <v>13.45</v>
      </c>
      <c r="D48" s="94"/>
      <c r="E48" s="55" t="s">
        <v>385</v>
      </c>
    </row>
    <row r="49" spans="1:5" ht="15.75">
      <c r="A49" s="93"/>
      <c r="B49" s="54"/>
      <c r="C49" s="87">
        <v>10.83</v>
      </c>
      <c r="D49" s="94"/>
      <c r="E49" s="95" t="s">
        <v>462</v>
      </c>
    </row>
    <row r="50" spans="1:5" ht="15.75">
      <c r="A50" s="93"/>
      <c r="B50" s="54"/>
      <c r="C50" s="87">
        <v>41.31</v>
      </c>
      <c r="D50" s="94"/>
      <c r="E50" s="95" t="s">
        <v>716</v>
      </c>
    </row>
    <row r="51" spans="1:5" ht="15.75">
      <c r="A51" s="93"/>
      <c r="B51" s="54"/>
      <c r="C51" s="87"/>
      <c r="D51" s="94"/>
      <c r="E51" s="95"/>
    </row>
    <row r="52" spans="1:5" ht="15.75">
      <c r="A52" s="498" t="s">
        <v>465</v>
      </c>
      <c r="B52" s="499"/>
      <c r="C52" s="499"/>
      <c r="D52" s="499"/>
      <c r="E52" s="500"/>
    </row>
    <row r="53" spans="1:5" ht="15.75">
      <c r="A53" s="93"/>
      <c r="B53" s="54" t="s">
        <v>117</v>
      </c>
      <c r="C53" s="87">
        <v>3.61</v>
      </c>
      <c r="D53" s="94"/>
      <c r="E53" s="55" t="s">
        <v>384</v>
      </c>
    </row>
    <row r="54" spans="1:5" ht="15.75">
      <c r="A54" s="93"/>
      <c r="B54" s="54"/>
      <c r="C54" s="87">
        <v>16.45</v>
      </c>
      <c r="D54" s="94"/>
      <c r="E54" s="55" t="s">
        <v>385</v>
      </c>
    </row>
    <row r="55" spans="1:5" ht="31.5">
      <c r="A55" s="82"/>
      <c r="B55" s="54"/>
      <c r="C55" s="87">
        <v>17.32</v>
      </c>
      <c r="D55" s="94"/>
      <c r="E55" s="95" t="s">
        <v>467</v>
      </c>
    </row>
    <row r="56" spans="1:5" ht="15.75">
      <c r="A56" s="82"/>
      <c r="B56" s="54"/>
      <c r="C56" s="87">
        <v>3.61</v>
      </c>
      <c r="D56" s="94"/>
      <c r="E56" s="95" t="s">
        <v>716</v>
      </c>
    </row>
    <row r="57" spans="1:5" ht="15.75">
      <c r="A57" s="492" t="s">
        <v>466</v>
      </c>
      <c r="B57" s="493"/>
      <c r="C57" s="493"/>
      <c r="D57" s="493"/>
      <c r="E57" s="494"/>
    </row>
    <row r="58" spans="1:5" ht="15.75">
      <c r="A58" s="82"/>
      <c r="B58" s="54" t="s">
        <v>117</v>
      </c>
      <c r="C58" s="87">
        <v>18.170000000000002</v>
      </c>
      <c r="D58" s="94"/>
      <c r="E58" s="95" t="s">
        <v>462</v>
      </c>
    </row>
    <row r="59" spans="1:5" ht="15.75">
      <c r="A59" s="74"/>
      <c r="B59" s="44"/>
      <c r="C59" s="44"/>
      <c r="D59" s="44"/>
      <c r="E59" s="56"/>
    </row>
    <row r="60" spans="1:5" ht="29.25" customHeight="1">
      <c r="A60" s="495" t="s">
        <v>479</v>
      </c>
      <c r="B60" s="496"/>
      <c r="C60" s="497"/>
      <c r="D60" s="307">
        <f>ROUND((((365/7)*5)-9)/12,2)</f>
        <v>20.98</v>
      </c>
      <c r="E60" s="308" t="s">
        <v>480</v>
      </c>
    </row>
    <row r="61" spans="1:5" ht="169.5" customHeight="1">
      <c r="A61" s="529"/>
      <c r="B61" s="529"/>
      <c r="C61" s="529"/>
      <c r="D61" s="529"/>
      <c r="E61" s="529"/>
    </row>
    <row r="62" spans="1:5" ht="29.25" customHeight="1">
      <c r="A62" s="495" t="s">
        <v>479</v>
      </c>
      <c r="B62" s="496"/>
      <c r="C62" s="497"/>
      <c r="D62" s="307">
        <v>15</v>
      </c>
      <c r="E62" s="308" t="s">
        <v>481</v>
      </c>
    </row>
    <row r="63" spans="1:5" ht="15.75">
      <c r="A63" s="57"/>
      <c r="B63" s="58"/>
      <c r="C63" s="58"/>
      <c r="D63" s="59"/>
      <c r="E63" s="60"/>
    </row>
    <row r="64" spans="1:5" ht="15.75">
      <c r="A64" s="61"/>
      <c r="B64" s="61"/>
      <c r="C64" s="61"/>
      <c r="D64" s="62"/>
      <c r="E64" s="44"/>
    </row>
    <row r="65" spans="1:5" ht="18">
      <c r="A65" s="522" t="s">
        <v>118</v>
      </c>
      <c r="B65" s="522"/>
      <c r="C65" s="522"/>
      <c r="D65" s="522"/>
      <c r="E65" s="522"/>
    </row>
    <row r="66" spans="1:5" ht="15.75">
      <c r="A66" s="153">
        <v>3</v>
      </c>
      <c r="B66" s="504" t="s">
        <v>119</v>
      </c>
      <c r="C66" s="506"/>
      <c r="D66" s="153" t="s">
        <v>74</v>
      </c>
      <c r="E66" s="153" t="s">
        <v>120</v>
      </c>
    </row>
    <row r="67" spans="1:5" ht="63">
      <c r="A67" s="45" t="s">
        <v>3</v>
      </c>
      <c r="B67" s="507" t="s">
        <v>51</v>
      </c>
      <c r="C67" s="508"/>
      <c r="D67" s="108">
        <f>ROUND(1/12*0.1,4)</f>
        <v>8.3000000000000001E-3</v>
      </c>
      <c r="E67" s="48" t="s">
        <v>387</v>
      </c>
    </row>
    <row r="68" spans="1:5" ht="47.25">
      <c r="A68" s="45" t="s">
        <v>5</v>
      </c>
      <c r="B68" s="507" t="s">
        <v>160</v>
      </c>
      <c r="C68" s="508"/>
      <c r="D68" s="108">
        <f>TRUNC(D25*D67,4)</f>
        <v>5.9999999999999995E-4</v>
      </c>
      <c r="E68" s="48" t="s">
        <v>304</v>
      </c>
    </row>
    <row r="69" spans="1:5" ht="94.5">
      <c r="A69" s="45" t="s">
        <v>8</v>
      </c>
      <c r="B69" s="507" t="s">
        <v>121</v>
      </c>
      <c r="C69" s="508"/>
      <c r="D69" s="108">
        <v>0.4</v>
      </c>
      <c r="E69" s="48" t="s">
        <v>390</v>
      </c>
    </row>
    <row r="70" spans="1:5" ht="47.25">
      <c r="A70" s="45" t="s">
        <v>10</v>
      </c>
      <c r="B70" s="526" t="s">
        <v>122</v>
      </c>
      <c r="C70" s="527"/>
      <c r="D70" s="109">
        <v>1.9400000000000001E-2</v>
      </c>
      <c r="E70" s="63" t="s">
        <v>386</v>
      </c>
    </row>
    <row r="71" spans="1:5" ht="47.25">
      <c r="A71" s="45" t="s">
        <v>12</v>
      </c>
      <c r="B71" s="507" t="s">
        <v>123</v>
      </c>
      <c r="C71" s="508"/>
      <c r="D71" s="108">
        <f>TRUNC(D26*D70,4)</f>
        <v>7.7000000000000002E-3</v>
      </c>
      <c r="E71" s="48" t="s">
        <v>170</v>
      </c>
    </row>
    <row r="72" spans="1:5" ht="63">
      <c r="A72" s="45" t="s">
        <v>21</v>
      </c>
      <c r="B72" s="507" t="s">
        <v>124</v>
      </c>
      <c r="C72" s="508"/>
      <c r="D72" s="108">
        <v>0.4</v>
      </c>
      <c r="E72" s="48" t="s">
        <v>391</v>
      </c>
    </row>
    <row r="73" spans="1:5" ht="15.75">
      <c r="A73" s="504" t="s">
        <v>104</v>
      </c>
      <c r="B73" s="505"/>
      <c r="C73" s="506"/>
      <c r="D73" s="154">
        <f>TRUNC(SUM(D67:D72),4)</f>
        <v>0.83599999999999997</v>
      </c>
      <c r="E73" s="152" t="s">
        <v>125</v>
      </c>
    </row>
    <row r="74" spans="1:5" ht="15.75">
      <c r="A74" s="64"/>
      <c r="B74" s="64"/>
      <c r="C74" s="64"/>
      <c r="D74" s="62"/>
      <c r="E74" s="65"/>
    </row>
    <row r="75" spans="1:5" ht="18">
      <c r="A75" s="512" t="s">
        <v>126</v>
      </c>
      <c r="B75" s="513"/>
      <c r="C75" s="513"/>
      <c r="D75" s="513"/>
      <c r="E75" s="514"/>
    </row>
    <row r="76" spans="1:5" ht="31.5">
      <c r="A76" s="153" t="s">
        <v>57</v>
      </c>
      <c r="B76" s="153" t="s">
        <v>127</v>
      </c>
      <c r="C76" s="153" t="s">
        <v>128</v>
      </c>
      <c r="D76" s="153" t="s">
        <v>74</v>
      </c>
      <c r="E76" s="153" t="s">
        <v>102</v>
      </c>
    </row>
    <row r="77" spans="1:5" ht="31.5">
      <c r="A77" s="45" t="s">
        <v>3</v>
      </c>
      <c r="B77" s="66" t="s">
        <v>129</v>
      </c>
      <c r="C77" s="67" t="s">
        <v>130</v>
      </c>
      <c r="D77" s="108">
        <f>ROUND((1/12),4)</f>
        <v>8.3299999999999999E-2</v>
      </c>
      <c r="E77" s="48" t="s">
        <v>392</v>
      </c>
    </row>
    <row r="78" spans="1:5" ht="47.25">
      <c r="A78" s="45" t="s">
        <v>5</v>
      </c>
      <c r="B78" s="66" t="s">
        <v>131</v>
      </c>
      <c r="C78" s="67" t="s">
        <v>130</v>
      </c>
      <c r="D78" s="108">
        <f>ROUND((1/30)*5/12,4)</f>
        <v>1.3899999999999999E-2</v>
      </c>
      <c r="E78" s="48" t="s">
        <v>393</v>
      </c>
    </row>
    <row r="79" spans="1:5" ht="63">
      <c r="A79" s="45" t="s">
        <v>8</v>
      </c>
      <c r="B79" s="66" t="s">
        <v>132</v>
      </c>
      <c r="C79" s="67" t="s">
        <v>130</v>
      </c>
      <c r="D79" s="108">
        <f>ROUND(5/30/12*0.05,4)</f>
        <v>6.9999999999999999E-4</v>
      </c>
      <c r="E79" s="48" t="s">
        <v>394</v>
      </c>
    </row>
    <row r="80" spans="1:5" ht="63">
      <c r="A80" s="45" t="s">
        <v>10</v>
      </c>
      <c r="B80" s="66" t="s">
        <v>133</v>
      </c>
      <c r="C80" s="67" t="s">
        <v>130</v>
      </c>
      <c r="D80" s="108">
        <f>(1/30)*3/12</f>
        <v>8.3333333333333332E-3</v>
      </c>
      <c r="E80" s="48" t="s">
        <v>395</v>
      </c>
    </row>
    <row r="81" spans="1:7" ht="47.25">
      <c r="A81" s="45" t="s">
        <v>12</v>
      </c>
      <c r="B81" s="66" t="s">
        <v>134</v>
      </c>
      <c r="C81" s="67" t="s">
        <v>130</v>
      </c>
      <c r="D81" s="108">
        <f>(((1+1/3)*(4/12))/12)*0.01</f>
        <v>3.7037037037037035E-4</v>
      </c>
      <c r="E81" s="48" t="s">
        <v>396</v>
      </c>
    </row>
    <row r="82" spans="1:7" ht="15.75">
      <c r="A82" s="503" t="s">
        <v>155</v>
      </c>
      <c r="B82" s="503"/>
      <c r="C82" s="503"/>
      <c r="D82" s="151">
        <f>TRUNC(SUM(D77:D81),4)</f>
        <v>0.1066</v>
      </c>
      <c r="E82" s="152" t="s">
        <v>161</v>
      </c>
    </row>
    <row r="83" spans="1:7" ht="31.5">
      <c r="A83" s="68" t="s">
        <v>21</v>
      </c>
      <c r="B83" s="69" t="s">
        <v>219</v>
      </c>
      <c r="C83" s="70" t="s">
        <v>130</v>
      </c>
      <c r="D83" s="110">
        <f>ROUND(D82*D26,4)</f>
        <v>4.24E-2</v>
      </c>
      <c r="E83" s="71" t="s">
        <v>219</v>
      </c>
    </row>
    <row r="84" spans="1:7" ht="15.75">
      <c r="A84" s="503" t="s">
        <v>135</v>
      </c>
      <c r="B84" s="503"/>
      <c r="C84" s="503"/>
      <c r="D84" s="151">
        <f>TRUNC(SUM(D82:D83),4)</f>
        <v>0.14899999999999999</v>
      </c>
      <c r="E84" s="152" t="s">
        <v>161</v>
      </c>
    </row>
    <row r="85" spans="1:7" ht="15.75">
      <c r="A85" s="64"/>
      <c r="B85" s="64"/>
      <c r="C85" s="64"/>
      <c r="D85" s="72"/>
      <c r="E85" s="65"/>
    </row>
    <row r="86" spans="1:7" ht="15.75">
      <c r="A86" s="523"/>
      <c r="B86" s="524"/>
      <c r="C86" s="524"/>
      <c r="D86" s="524"/>
      <c r="E86" s="525"/>
    </row>
    <row r="87" spans="1:7" ht="18">
      <c r="A87" s="522" t="s">
        <v>136</v>
      </c>
      <c r="B87" s="522"/>
      <c r="C87" s="522"/>
      <c r="D87" s="522"/>
      <c r="E87" s="522"/>
      <c r="G87" t="s">
        <v>457</v>
      </c>
    </row>
    <row r="88" spans="1:7" ht="15.75">
      <c r="A88" s="504" t="s">
        <v>137</v>
      </c>
      <c r="B88" s="505"/>
      <c r="C88" s="505"/>
      <c r="D88" s="505"/>
      <c r="E88" s="506"/>
    </row>
    <row r="89" spans="1:7" ht="69" customHeight="1">
      <c r="A89" s="536" t="s">
        <v>742</v>
      </c>
      <c r="B89" s="536"/>
      <c r="C89" s="536"/>
      <c r="D89" s="536"/>
      <c r="E89" s="536"/>
    </row>
    <row r="90" spans="1:7" ht="15.75">
      <c r="A90" s="73"/>
      <c r="B90" s="73"/>
      <c r="C90" s="73"/>
      <c r="D90" s="73"/>
      <c r="E90" s="73"/>
    </row>
    <row r="91" spans="1:7" ht="15.75">
      <c r="A91" s="504" t="s">
        <v>138</v>
      </c>
      <c r="B91" s="505"/>
      <c r="C91" s="505"/>
      <c r="D91" s="505"/>
      <c r="E91" s="506"/>
    </row>
    <row r="92" spans="1:7" ht="15.75">
      <c r="A92" s="523" t="s">
        <v>456</v>
      </c>
      <c r="B92" s="524"/>
      <c r="C92" s="524"/>
      <c r="D92" s="524"/>
      <c r="E92" s="525"/>
    </row>
    <row r="93" spans="1:7" ht="15.75">
      <c r="A93" s="74" t="s">
        <v>139</v>
      </c>
      <c r="B93" s="44" t="s">
        <v>140</v>
      </c>
      <c r="C93" s="75">
        <v>0.05</v>
      </c>
      <c r="D93" s="44"/>
      <c r="E93" s="758" t="s">
        <v>741</v>
      </c>
    </row>
    <row r="94" spans="1:7" ht="15.75">
      <c r="A94" s="74" t="s">
        <v>141</v>
      </c>
      <c r="B94" s="44" t="s">
        <v>142</v>
      </c>
      <c r="C94" s="75">
        <v>7.5999999999999998E-2</v>
      </c>
      <c r="D94" s="44"/>
      <c r="E94" s="758"/>
    </row>
    <row r="95" spans="1:7" ht="15.75">
      <c r="A95" s="74" t="s">
        <v>143</v>
      </c>
      <c r="B95" s="44" t="s">
        <v>144</v>
      </c>
      <c r="C95" s="75">
        <v>1.6500000000000001E-2</v>
      </c>
      <c r="D95" s="44"/>
      <c r="E95" s="758"/>
    </row>
    <row r="96" spans="1:7" ht="15.75">
      <c r="A96" s="533" t="s">
        <v>145</v>
      </c>
      <c r="B96" s="534"/>
      <c r="C96" s="76">
        <f>TRUNC(SUM(C93:C95),4)</f>
        <v>0.14249999999999999</v>
      </c>
      <c r="D96" s="77"/>
      <c r="E96" s="759"/>
    </row>
    <row r="97" spans="1:5" ht="15.75">
      <c r="A97" s="64"/>
      <c r="B97" s="64"/>
      <c r="C97" s="78"/>
      <c r="D97" s="44"/>
      <c r="E97" s="44"/>
    </row>
    <row r="98" spans="1:5" ht="15.75">
      <c r="A98" s="504" t="s">
        <v>146</v>
      </c>
      <c r="B98" s="505"/>
      <c r="C98" s="505"/>
      <c r="D98" s="505"/>
      <c r="E98" s="506"/>
    </row>
    <row r="99" spans="1:5" ht="73.5" customHeight="1">
      <c r="A99" s="530" t="s">
        <v>743</v>
      </c>
      <c r="B99" s="531"/>
      <c r="C99" s="531"/>
      <c r="D99" s="531"/>
      <c r="E99" s="532"/>
    </row>
    <row r="100" spans="1:5" ht="15.75">
      <c r="A100" s="79"/>
      <c r="B100" s="79"/>
      <c r="C100" s="79"/>
      <c r="D100" s="79"/>
      <c r="E100" s="79"/>
    </row>
    <row r="101" spans="1:5" ht="15.75">
      <c r="A101" s="79"/>
      <c r="B101" s="79"/>
      <c r="C101" s="79"/>
      <c r="D101" s="79"/>
      <c r="E101" s="79"/>
    </row>
    <row r="102" spans="1:5" ht="15.75">
      <c r="A102" s="528"/>
      <c r="B102" s="528"/>
      <c r="C102" s="528"/>
      <c r="D102" s="528"/>
      <c r="E102" s="528"/>
    </row>
    <row r="103" spans="1:5" ht="15.75">
      <c r="A103" s="44"/>
      <c r="B103" s="44"/>
      <c r="C103" s="44"/>
      <c r="D103" s="44"/>
      <c r="E103" s="44"/>
    </row>
    <row r="104" spans="1:5" ht="15.75">
      <c r="A104" s="44"/>
      <c r="B104" s="44"/>
      <c r="C104" s="44"/>
      <c r="D104" s="44"/>
      <c r="E104" s="44"/>
    </row>
    <row r="105" spans="1:5" ht="15.75">
      <c r="A105" s="44"/>
      <c r="B105" s="44"/>
      <c r="C105" s="44"/>
      <c r="D105" s="44"/>
      <c r="E105" s="44"/>
    </row>
    <row r="106" spans="1:5" ht="15.75">
      <c r="A106" s="535"/>
      <c r="B106" s="535"/>
      <c r="C106" s="535"/>
      <c r="D106" s="535"/>
      <c r="E106" s="535"/>
    </row>
    <row r="107" spans="1:5" ht="15.75">
      <c r="A107" s="528"/>
      <c r="B107" s="528"/>
      <c r="C107" s="528"/>
      <c r="D107" s="528"/>
      <c r="E107" s="528"/>
    </row>
    <row r="108" spans="1:5" ht="15.75">
      <c r="A108" s="528"/>
      <c r="B108" s="528"/>
      <c r="C108" s="528"/>
      <c r="D108" s="528"/>
      <c r="E108" s="528"/>
    </row>
  </sheetData>
  <mergeCells count="58">
    <mergeCell ref="E93:E96"/>
    <mergeCell ref="A107:E107"/>
    <mergeCell ref="A108:E108"/>
    <mergeCell ref="A61:E61"/>
    <mergeCell ref="A98:E98"/>
    <mergeCell ref="A99:E99"/>
    <mergeCell ref="A102:E102"/>
    <mergeCell ref="A96:B96"/>
    <mergeCell ref="A106:E106"/>
    <mergeCell ref="A87:E87"/>
    <mergeCell ref="A88:E88"/>
    <mergeCell ref="A89:E89"/>
    <mergeCell ref="A91:E91"/>
    <mergeCell ref="A92:E92"/>
    <mergeCell ref="A86:E86"/>
    <mergeCell ref="B69:C69"/>
    <mergeCell ref="B70:C70"/>
    <mergeCell ref="B71:C71"/>
    <mergeCell ref="B72:C72"/>
    <mergeCell ref="A73:C73"/>
    <mergeCell ref="A82:C82"/>
    <mergeCell ref="A84:C84"/>
    <mergeCell ref="B68:C68"/>
    <mergeCell ref="A65:E65"/>
    <mergeCell ref="B66:C66"/>
    <mergeCell ref="B67:C67"/>
    <mergeCell ref="A75:E75"/>
    <mergeCell ref="B19:C20"/>
    <mergeCell ref="D19:D20"/>
    <mergeCell ref="A29:E29"/>
    <mergeCell ref="B21:C21"/>
    <mergeCell ref="B22:C22"/>
    <mergeCell ref="B23:C23"/>
    <mergeCell ref="B24:C24"/>
    <mergeCell ref="B25:C25"/>
    <mergeCell ref="A26:C26"/>
    <mergeCell ref="A28:E28"/>
    <mergeCell ref="A1:E1"/>
    <mergeCell ref="A3:E3"/>
    <mergeCell ref="A4:E4"/>
    <mergeCell ref="A6:E6"/>
    <mergeCell ref="A7:E7"/>
    <mergeCell ref="G2:J2"/>
    <mergeCell ref="A31:E31"/>
    <mergeCell ref="A57:E57"/>
    <mergeCell ref="A60:C60"/>
    <mergeCell ref="A62:C62"/>
    <mergeCell ref="A40:E40"/>
    <mergeCell ref="A46:E46"/>
    <mergeCell ref="A52:E52"/>
    <mergeCell ref="A33:E33"/>
    <mergeCell ref="A11:C11"/>
    <mergeCell ref="A13:C13"/>
    <mergeCell ref="A15:E15"/>
    <mergeCell ref="B16:C16"/>
    <mergeCell ref="B17:C17"/>
    <mergeCell ref="B18:C18"/>
    <mergeCell ref="A19:A20"/>
  </mergeCells>
  <pageMargins left="0.19685039370078741" right="0.19685039370078741" top="0.98425196850393704" bottom="0.78740157480314965" header="0.31496062992125984" footer="0.31496062992125984"/>
  <pageSetup paperSize="9" scale="6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I61"/>
  <sheetViews>
    <sheetView topLeftCell="A36" zoomScaleNormal="100" zoomScaleSheetLayoutView="100" workbookViewId="0">
      <selection activeCell="F57" sqref="F57"/>
    </sheetView>
  </sheetViews>
  <sheetFormatPr defaultRowHeight="15"/>
  <cols>
    <col min="1" max="1" width="5.42578125" bestFit="1" customWidth="1"/>
    <col min="2" max="2" width="18.28515625" customWidth="1"/>
    <col min="3" max="3" width="15.42578125" customWidth="1"/>
    <col min="4" max="4" width="15.7109375" customWidth="1"/>
    <col min="5" max="5" width="15.28515625" customWidth="1"/>
    <col min="6" max="6" width="18" customWidth="1"/>
    <col min="7" max="9" width="16.7109375" customWidth="1"/>
  </cols>
  <sheetData>
    <row r="1" spans="1:9" ht="15.75">
      <c r="A1" s="546" t="s">
        <v>190</v>
      </c>
      <c r="B1" s="546"/>
      <c r="C1" s="546"/>
      <c r="D1" s="546"/>
      <c r="E1" s="546"/>
      <c r="F1" s="546"/>
      <c r="G1" s="546"/>
      <c r="H1" s="546"/>
      <c r="I1" s="546"/>
    </row>
    <row r="2" spans="1:9" ht="15.75">
      <c r="A2" s="141">
        <v>1</v>
      </c>
      <c r="B2" s="544" t="s">
        <v>558</v>
      </c>
      <c r="C2" s="544"/>
      <c r="D2" s="544"/>
      <c r="E2" s="544"/>
      <c r="F2" s="544"/>
      <c r="G2" s="544"/>
      <c r="H2" s="544"/>
      <c r="I2" s="544"/>
    </row>
    <row r="3" spans="1:9" ht="15.75" customHeight="1">
      <c r="A3" s="542" t="s">
        <v>191</v>
      </c>
      <c r="B3" s="542"/>
      <c r="C3" s="542"/>
      <c r="D3" s="542"/>
      <c r="E3" s="542"/>
      <c r="F3" s="542" t="s">
        <v>192</v>
      </c>
      <c r="G3" s="136" t="s">
        <v>193</v>
      </c>
      <c r="H3" s="136" t="s">
        <v>194</v>
      </c>
      <c r="I3" s="136" t="s">
        <v>195</v>
      </c>
    </row>
    <row r="4" spans="1:9" ht="31.5">
      <c r="A4" s="542"/>
      <c r="B4" s="542"/>
      <c r="C4" s="542"/>
      <c r="D4" s="542"/>
      <c r="E4" s="542"/>
      <c r="F4" s="542"/>
      <c r="G4" s="135" t="s">
        <v>196</v>
      </c>
      <c r="H4" s="135" t="s">
        <v>197</v>
      </c>
      <c r="I4" s="137" t="s">
        <v>198</v>
      </c>
    </row>
    <row r="5" spans="1:9" ht="15.75" customHeight="1">
      <c r="A5" s="543" t="s">
        <v>187</v>
      </c>
      <c r="B5" s="543"/>
      <c r="C5" s="543"/>
      <c r="D5" s="543"/>
      <c r="E5" s="543"/>
      <c r="F5" s="144">
        <f>$F$40</f>
        <v>1100</v>
      </c>
      <c r="G5" s="164">
        <f>TRUNC(1/F5,6)</f>
        <v>9.0899999999999998E-4</v>
      </c>
      <c r="H5" s="165">
        <f>Servente!D128</f>
        <v>5873.49</v>
      </c>
      <c r="I5" s="158">
        <f>TRUNC(G5*H5,2)</f>
        <v>5.33</v>
      </c>
    </row>
    <row r="6" spans="1:9" ht="15.75" customHeight="1">
      <c r="A6" s="540" t="s">
        <v>41</v>
      </c>
      <c r="B6" s="540"/>
      <c r="C6" s="540"/>
      <c r="D6" s="540"/>
      <c r="E6" s="540"/>
      <c r="F6" s="540"/>
      <c r="G6" s="540"/>
      <c r="H6" s="540"/>
      <c r="I6" s="140">
        <f>TRUNC(SUM(I5:I5),2)</f>
        <v>5.33</v>
      </c>
    </row>
    <row r="7" spans="1:9" ht="9" customHeight="1">
      <c r="A7" s="128"/>
      <c r="B7" s="129"/>
      <c r="C7" s="129"/>
      <c r="D7" s="130"/>
      <c r="E7" s="130"/>
      <c r="F7" s="130"/>
      <c r="G7" s="130"/>
      <c r="H7" s="130"/>
    </row>
    <row r="8" spans="1:9" ht="15.75">
      <c r="A8" s="141">
        <v>2</v>
      </c>
      <c r="B8" s="544" t="s">
        <v>559</v>
      </c>
      <c r="C8" s="544"/>
      <c r="D8" s="544"/>
      <c r="E8" s="544"/>
      <c r="F8" s="544"/>
      <c r="G8" s="544"/>
      <c r="H8" s="544"/>
      <c r="I8" s="544"/>
    </row>
    <row r="9" spans="1:9" ht="15.75">
      <c r="A9" s="542" t="s">
        <v>191</v>
      </c>
      <c r="B9" s="542"/>
      <c r="C9" s="542"/>
      <c r="D9" s="542"/>
      <c r="E9" s="542"/>
      <c r="F9" s="542" t="s">
        <v>192</v>
      </c>
      <c r="G9" s="136" t="s">
        <v>193</v>
      </c>
      <c r="H9" s="136" t="s">
        <v>194</v>
      </c>
      <c r="I9" s="136" t="s">
        <v>195</v>
      </c>
    </row>
    <row r="10" spans="1:9" ht="31.5">
      <c r="A10" s="542"/>
      <c r="B10" s="542"/>
      <c r="C10" s="542"/>
      <c r="D10" s="542"/>
      <c r="E10" s="542"/>
      <c r="F10" s="542"/>
      <c r="G10" s="135" t="s">
        <v>196</v>
      </c>
      <c r="H10" s="135" t="s">
        <v>197</v>
      </c>
      <c r="I10" s="137" t="s">
        <v>198</v>
      </c>
    </row>
    <row r="11" spans="1:9" ht="15.75">
      <c r="A11" s="543" t="s">
        <v>187</v>
      </c>
      <c r="B11" s="543"/>
      <c r="C11" s="543"/>
      <c r="D11" s="543"/>
      <c r="E11" s="543"/>
      <c r="F11" s="144">
        <f>$F$41</f>
        <v>2700</v>
      </c>
      <c r="G11" s="164">
        <f>TRUNC(1/F11,6)</f>
        <v>3.6999999999999999E-4</v>
      </c>
      <c r="H11" s="165">
        <f>Servente!D128</f>
        <v>5873.49</v>
      </c>
      <c r="I11" s="158">
        <f>TRUNC(G11*H11,2)</f>
        <v>2.17</v>
      </c>
    </row>
    <row r="12" spans="1:9" ht="15.75">
      <c r="A12" s="540" t="s">
        <v>41</v>
      </c>
      <c r="B12" s="540"/>
      <c r="C12" s="540"/>
      <c r="D12" s="540"/>
      <c r="E12" s="540"/>
      <c r="F12" s="540"/>
      <c r="G12" s="540"/>
      <c r="H12" s="540"/>
      <c r="I12" s="140">
        <f>TRUNC(SUM(I11:I11),2)</f>
        <v>2.17</v>
      </c>
    </row>
    <row r="13" spans="1:9" ht="9" customHeight="1">
      <c r="A13" s="128"/>
      <c r="B13" s="129"/>
      <c r="C13" s="129"/>
      <c r="D13" s="130"/>
      <c r="E13" s="130"/>
      <c r="F13" s="130"/>
      <c r="G13" s="130"/>
      <c r="H13" s="130"/>
    </row>
    <row r="14" spans="1:9" ht="15.75">
      <c r="A14" s="141">
        <v>3</v>
      </c>
      <c r="B14" s="541" t="s">
        <v>560</v>
      </c>
      <c r="C14" s="541"/>
      <c r="D14" s="541"/>
      <c r="E14" s="541"/>
      <c r="F14" s="541"/>
      <c r="G14" s="541"/>
      <c r="H14" s="541"/>
      <c r="I14" s="541"/>
    </row>
    <row r="15" spans="1:9" ht="15.75">
      <c r="A15" s="542" t="s">
        <v>191</v>
      </c>
      <c r="B15" s="542"/>
      <c r="C15" s="542" t="s">
        <v>192</v>
      </c>
      <c r="D15" s="136" t="s">
        <v>193</v>
      </c>
      <c r="E15" s="136" t="s">
        <v>194</v>
      </c>
      <c r="F15" s="136" t="s">
        <v>202</v>
      </c>
      <c r="G15" s="136" t="s">
        <v>205</v>
      </c>
      <c r="H15" s="136" t="s">
        <v>206</v>
      </c>
      <c r="I15" s="136" t="s">
        <v>208</v>
      </c>
    </row>
    <row r="16" spans="1:9" ht="47.25">
      <c r="A16" s="542"/>
      <c r="B16" s="542"/>
      <c r="C16" s="542"/>
      <c r="D16" s="135" t="s">
        <v>196</v>
      </c>
      <c r="E16" s="135" t="s">
        <v>203</v>
      </c>
      <c r="F16" s="135" t="s">
        <v>204</v>
      </c>
      <c r="G16" s="135" t="s">
        <v>207</v>
      </c>
      <c r="H16" s="135" t="s">
        <v>197</v>
      </c>
      <c r="I16" s="137" t="s">
        <v>198</v>
      </c>
    </row>
    <row r="17" spans="1:9" ht="15.75">
      <c r="A17" s="543" t="s">
        <v>187</v>
      </c>
      <c r="B17" s="543"/>
      <c r="C17" s="144">
        <f>F42</f>
        <v>380</v>
      </c>
      <c r="D17" s="164">
        <f>TRUNC(1/C17,6)</f>
        <v>2.6310000000000001E-3</v>
      </c>
      <c r="E17" s="166">
        <v>16</v>
      </c>
      <c r="F17" s="164">
        <f>TRUNC(1/188.76,6)</f>
        <v>5.2969999999999996E-3</v>
      </c>
      <c r="G17" s="164">
        <f>TRUNC(D17*E17*F17,6)</f>
        <v>2.22E-4</v>
      </c>
      <c r="H17" s="165">
        <f>Servente!D128</f>
        <v>5873.49</v>
      </c>
      <c r="I17" s="158">
        <f>TRUNC(G17*H17,2)</f>
        <v>1.3</v>
      </c>
    </row>
    <row r="18" spans="1:9" ht="15.75">
      <c r="A18" s="540" t="s">
        <v>41</v>
      </c>
      <c r="B18" s="540"/>
      <c r="C18" s="540"/>
      <c r="D18" s="540"/>
      <c r="E18" s="540"/>
      <c r="F18" s="540"/>
      <c r="G18" s="540"/>
      <c r="H18" s="540"/>
      <c r="I18" s="140">
        <f>TRUNC(SUM(I17:I17),2)</f>
        <v>1.3</v>
      </c>
    </row>
    <row r="19" spans="1:9" ht="9" customHeight="1">
      <c r="A19" s="128"/>
      <c r="B19" s="129"/>
      <c r="C19" s="129"/>
      <c r="D19" s="130"/>
      <c r="E19" s="130"/>
      <c r="F19" s="130"/>
      <c r="G19" s="130"/>
      <c r="H19" s="130"/>
    </row>
    <row r="20" spans="1:9" ht="15.75">
      <c r="A20" s="141">
        <v>4</v>
      </c>
      <c r="B20" s="544" t="str">
        <f>B43</f>
        <v>Serviço de Limpeza - Edifício Inácio de Lima Ferreira - Área Interna</v>
      </c>
      <c r="C20" s="544"/>
      <c r="D20" s="544"/>
      <c r="E20" s="544"/>
      <c r="F20" s="544"/>
      <c r="G20" s="544"/>
      <c r="H20" s="544"/>
      <c r="I20" s="544"/>
    </row>
    <row r="21" spans="1:9" ht="15.75" customHeight="1">
      <c r="A21" s="542" t="s">
        <v>191</v>
      </c>
      <c r="B21" s="542"/>
      <c r="C21" s="542"/>
      <c r="D21" s="542"/>
      <c r="E21" s="542"/>
      <c r="F21" s="542" t="s">
        <v>192</v>
      </c>
      <c r="G21" s="136" t="s">
        <v>193</v>
      </c>
      <c r="H21" s="136" t="s">
        <v>194</v>
      </c>
      <c r="I21" s="136" t="s">
        <v>195</v>
      </c>
    </row>
    <row r="22" spans="1:9" ht="31.5">
      <c r="A22" s="542"/>
      <c r="B22" s="542"/>
      <c r="C22" s="542"/>
      <c r="D22" s="542"/>
      <c r="E22" s="542"/>
      <c r="F22" s="542"/>
      <c r="G22" s="135" t="s">
        <v>196</v>
      </c>
      <c r="H22" s="135" t="s">
        <v>197</v>
      </c>
      <c r="I22" s="137" t="s">
        <v>198</v>
      </c>
    </row>
    <row r="23" spans="1:9" ht="15.75" customHeight="1">
      <c r="A23" s="543" t="s">
        <v>187</v>
      </c>
      <c r="B23" s="543"/>
      <c r="C23" s="543"/>
      <c r="D23" s="543"/>
      <c r="E23" s="543"/>
      <c r="F23" s="144">
        <f>$F$43</f>
        <v>1100</v>
      </c>
      <c r="G23" s="164">
        <f>TRUNC(1/F23,6)</f>
        <v>9.0899999999999998E-4</v>
      </c>
      <c r="H23" s="165">
        <f>Servente!D128</f>
        <v>5873.49</v>
      </c>
      <c r="I23" s="158">
        <f>TRUNC(G23*H23,2)</f>
        <v>5.33</v>
      </c>
    </row>
    <row r="24" spans="1:9" ht="15.75" customHeight="1">
      <c r="A24" s="540" t="s">
        <v>41</v>
      </c>
      <c r="B24" s="540"/>
      <c r="C24" s="540"/>
      <c r="D24" s="540"/>
      <c r="E24" s="540"/>
      <c r="F24" s="540"/>
      <c r="G24" s="540"/>
      <c r="H24" s="540"/>
      <c r="I24" s="140">
        <f>TRUNC(SUM(I23:I23),2)</f>
        <v>5.33</v>
      </c>
    </row>
    <row r="25" spans="1:9" ht="9" customHeight="1">
      <c r="A25" s="128"/>
      <c r="B25" s="129"/>
      <c r="C25" s="129"/>
      <c r="D25" s="129"/>
      <c r="E25" s="129"/>
      <c r="F25" s="129"/>
      <c r="G25" s="130"/>
      <c r="H25" s="130"/>
    </row>
    <row r="26" spans="1:9" ht="15.75">
      <c r="A26" s="141">
        <v>4</v>
      </c>
      <c r="B26" s="544" t="str">
        <f>'Planilha Resumo Custos'!C8</f>
        <v>Serviço de Limpeza - Edifício Inácio de Lima Ferreira - Área externa</v>
      </c>
      <c r="C26" s="544"/>
      <c r="D26" s="544"/>
      <c r="E26" s="544"/>
      <c r="F26" s="544"/>
      <c r="G26" s="544"/>
      <c r="H26" s="544"/>
      <c r="I26" s="544"/>
    </row>
    <row r="27" spans="1:9" ht="15.75" customHeight="1">
      <c r="A27" s="542" t="s">
        <v>191</v>
      </c>
      <c r="B27" s="542"/>
      <c r="C27" s="542"/>
      <c r="D27" s="542"/>
      <c r="E27" s="542"/>
      <c r="F27" s="542" t="s">
        <v>192</v>
      </c>
      <c r="G27" s="136" t="s">
        <v>193</v>
      </c>
      <c r="H27" s="136" t="s">
        <v>194</v>
      </c>
      <c r="I27" s="136" t="s">
        <v>195</v>
      </c>
    </row>
    <row r="28" spans="1:9" ht="31.5">
      <c r="A28" s="542"/>
      <c r="B28" s="542"/>
      <c r="C28" s="542"/>
      <c r="D28" s="542"/>
      <c r="E28" s="542"/>
      <c r="F28" s="542"/>
      <c r="G28" s="135" t="s">
        <v>196</v>
      </c>
      <c r="H28" s="135" t="s">
        <v>197</v>
      </c>
      <c r="I28" s="137" t="s">
        <v>198</v>
      </c>
    </row>
    <row r="29" spans="1:9" ht="15.75" customHeight="1">
      <c r="A29" s="543" t="s">
        <v>187</v>
      </c>
      <c r="B29" s="543"/>
      <c r="C29" s="543"/>
      <c r="D29" s="543"/>
      <c r="E29" s="543"/>
      <c r="F29" s="144">
        <v>2700</v>
      </c>
      <c r="G29" s="164">
        <f>TRUNC(1/F29,6)</f>
        <v>3.6999999999999999E-4</v>
      </c>
      <c r="H29" s="165">
        <f>Servente!D128</f>
        <v>5873.49</v>
      </c>
      <c r="I29" s="158">
        <f>TRUNC(G29*H29,2)</f>
        <v>2.17</v>
      </c>
    </row>
    <row r="30" spans="1:9" ht="15.75" customHeight="1">
      <c r="A30" s="540" t="s">
        <v>41</v>
      </c>
      <c r="B30" s="540"/>
      <c r="C30" s="540"/>
      <c r="D30" s="540"/>
      <c r="E30" s="540"/>
      <c r="F30" s="540"/>
      <c r="G30" s="540"/>
      <c r="H30" s="540"/>
      <c r="I30" s="140">
        <f>TRUNC(SUM(I29:I29),2)</f>
        <v>2.17</v>
      </c>
    </row>
    <row r="31" spans="1:9" ht="9" customHeight="1">
      <c r="A31" s="128"/>
      <c r="B31" s="129"/>
      <c r="C31" s="129"/>
      <c r="D31" s="129"/>
      <c r="E31" s="129"/>
      <c r="F31" s="129"/>
      <c r="G31" s="130"/>
      <c r="H31" s="130"/>
    </row>
    <row r="32" spans="1:9" ht="15.75" customHeight="1">
      <c r="A32" s="141">
        <v>5</v>
      </c>
      <c r="B32" s="544" t="str">
        <f>B45</f>
        <v>Sala do SCS, Ed. Central</v>
      </c>
      <c r="C32" s="544"/>
      <c r="D32" s="544"/>
      <c r="E32" s="544"/>
      <c r="F32" s="544"/>
      <c r="G32" s="544"/>
      <c r="H32" s="544"/>
      <c r="I32" s="544"/>
    </row>
    <row r="33" spans="1:9" ht="15.75" customHeight="1">
      <c r="A33" s="542" t="s">
        <v>191</v>
      </c>
      <c r="B33" s="542"/>
      <c r="C33" s="542"/>
      <c r="D33" s="542"/>
      <c r="E33" s="542"/>
      <c r="F33" s="542" t="s">
        <v>192</v>
      </c>
      <c r="G33" s="136" t="s">
        <v>193</v>
      </c>
      <c r="H33" s="136" t="s">
        <v>194</v>
      </c>
      <c r="I33" s="136" t="s">
        <v>195</v>
      </c>
    </row>
    <row r="34" spans="1:9" ht="31.5">
      <c r="A34" s="542"/>
      <c r="B34" s="542"/>
      <c r="C34" s="542"/>
      <c r="D34" s="542"/>
      <c r="E34" s="542"/>
      <c r="F34" s="542"/>
      <c r="G34" s="135" t="s">
        <v>196</v>
      </c>
      <c r="H34" s="135" t="s">
        <v>197</v>
      </c>
      <c r="I34" s="137" t="s">
        <v>198</v>
      </c>
    </row>
    <row r="35" spans="1:9" ht="15.75" customHeight="1">
      <c r="A35" s="543" t="s">
        <v>187</v>
      </c>
      <c r="B35" s="543"/>
      <c r="C35" s="543"/>
      <c r="D35" s="543"/>
      <c r="E35" s="543"/>
      <c r="F35" s="144">
        <f>$F$43</f>
        <v>1100</v>
      </c>
      <c r="G35" s="164">
        <f>TRUNC(1/F35,6)</f>
        <v>9.0899999999999998E-4</v>
      </c>
      <c r="H35" s="165">
        <f>Servente!D128</f>
        <v>5873.49</v>
      </c>
      <c r="I35" s="158">
        <f>TRUNC(G35*H35,2)</f>
        <v>5.33</v>
      </c>
    </row>
    <row r="36" spans="1:9" ht="15.75" customHeight="1">
      <c r="A36" s="540" t="s">
        <v>41</v>
      </c>
      <c r="B36" s="540"/>
      <c r="C36" s="540"/>
      <c r="D36" s="540"/>
      <c r="E36" s="540"/>
      <c r="F36" s="540"/>
      <c r="G36" s="540"/>
      <c r="H36" s="540"/>
      <c r="I36" s="140">
        <f>TRUNC(SUM(I35:I35),2)</f>
        <v>5.33</v>
      </c>
    </row>
    <row r="37" spans="1:9" ht="9" customHeight="1">
      <c r="A37" s="128"/>
      <c r="B37" s="131"/>
      <c r="C37" s="131"/>
      <c r="D37" s="132"/>
      <c r="E37" s="132"/>
      <c r="F37" s="133"/>
      <c r="G37" s="130"/>
      <c r="H37" s="130"/>
    </row>
    <row r="38" spans="1:9" ht="15.75">
      <c r="A38" s="544" t="s">
        <v>209</v>
      </c>
      <c r="B38" s="544"/>
      <c r="C38" s="544"/>
      <c r="D38" s="544"/>
      <c r="E38" s="544"/>
      <c r="F38" s="544"/>
      <c r="G38" s="544"/>
      <c r="H38" s="544"/>
      <c r="I38" s="544"/>
    </row>
    <row r="39" spans="1:9" ht="31.5">
      <c r="A39" s="134" t="s">
        <v>148</v>
      </c>
      <c r="B39" s="542" t="s">
        <v>199</v>
      </c>
      <c r="C39" s="542"/>
      <c r="D39" s="542"/>
      <c r="E39" s="542"/>
      <c r="F39" s="135" t="s">
        <v>192</v>
      </c>
      <c r="G39" s="135" t="s">
        <v>200</v>
      </c>
      <c r="H39" s="135" t="s">
        <v>198</v>
      </c>
      <c r="I39" s="135" t="s">
        <v>201</v>
      </c>
    </row>
    <row r="40" spans="1:9" ht="30" customHeight="1">
      <c r="A40" s="157">
        <f>'Planilha Resumo Custos'!B4</f>
        <v>1</v>
      </c>
      <c r="B40" s="537" t="str">
        <f>'Planilha Resumo Custos'!C4</f>
        <v>Prestação de Serviços de Limpeza e Conservação - Edifício sede - área interna</v>
      </c>
      <c r="C40" s="538"/>
      <c r="D40" s="538"/>
      <c r="E40" s="539"/>
      <c r="F40" s="144">
        <v>1100</v>
      </c>
      <c r="G40" s="156">
        <f>'Planilha Resumo Custos'!D4</f>
        <v>9689.5499999999993</v>
      </c>
      <c r="H40" s="158">
        <f>I6</f>
        <v>5.33</v>
      </c>
      <c r="I40" s="158">
        <f>TRUNC(G40*H40,2)</f>
        <v>51645.3</v>
      </c>
    </row>
    <row r="41" spans="1:9" ht="30" customHeight="1">
      <c r="A41" s="157">
        <f>'Planilha Resumo Custos'!B5</f>
        <v>2</v>
      </c>
      <c r="B41" s="537" t="str">
        <f>'Planilha Resumo Custos'!C5</f>
        <v>Prestação de Serviços de Limpeza e Conservação - Edifício sede - área externa</v>
      </c>
      <c r="C41" s="538"/>
      <c r="D41" s="538"/>
      <c r="E41" s="539"/>
      <c r="F41" s="160">
        <v>2700</v>
      </c>
      <c r="G41" s="156">
        <f>'Planilha Resumo Custos'!D5</f>
        <v>1306</v>
      </c>
      <c r="H41" s="161">
        <f>I12</f>
        <v>2.17</v>
      </c>
      <c r="I41" s="161">
        <f t="shared" ref="I41:I45" si="0">TRUNC(G41*H41,2)</f>
        <v>2834.02</v>
      </c>
    </row>
    <row r="42" spans="1:9" ht="30" customHeight="1">
      <c r="A42" s="157">
        <f>'Planilha Resumo Custos'!B6</f>
        <v>3</v>
      </c>
      <c r="B42" s="537" t="str">
        <f>'Planilha Resumo Custos'!C6</f>
        <v>Prestação de Serviços de Limpeza e Conservação - Edifício sede - Área Esquadria Externa/Interna sem Risco</v>
      </c>
      <c r="C42" s="538"/>
      <c r="D42" s="538"/>
      <c r="E42" s="539"/>
      <c r="F42" s="144">
        <v>380</v>
      </c>
      <c r="G42" s="156">
        <f>'Planilha Resumo Custos'!D6</f>
        <v>2228.5</v>
      </c>
      <c r="H42" s="158">
        <f>I18</f>
        <v>1.3</v>
      </c>
      <c r="I42" s="158">
        <f t="shared" si="0"/>
        <v>2897.05</v>
      </c>
    </row>
    <row r="43" spans="1:9" ht="30" customHeight="1">
      <c r="A43" s="157">
        <f>'Planilha Resumo Custos'!B7</f>
        <v>4</v>
      </c>
      <c r="B43" s="537" t="str">
        <f>'Planilha Resumo Custos'!C7</f>
        <v>Serviço de Limpeza - Edifício Inácio de Lima Ferreira - Área Interna</v>
      </c>
      <c r="C43" s="538"/>
      <c r="D43" s="538"/>
      <c r="E43" s="539"/>
      <c r="F43" s="160">
        <v>1100</v>
      </c>
      <c r="G43" s="156">
        <f>'Planilha Resumo Custos'!D7</f>
        <v>1200</v>
      </c>
      <c r="H43" s="161">
        <f>I24</f>
        <v>5.33</v>
      </c>
      <c r="I43" s="161">
        <f t="shared" si="0"/>
        <v>6396</v>
      </c>
    </row>
    <row r="44" spans="1:9" ht="30" customHeight="1">
      <c r="A44" s="157">
        <f>'Planilha Resumo Custos'!B8</f>
        <v>5</v>
      </c>
      <c r="B44" s="537" t="str">
        <f>'Planilha Resumo Custos'!C8</f>
        <v>Serviço de Limpeza - Edifício Inácio de Lima Ferreira - Área externa</v>
      </c>
      <c r="C44" s="538"/>
      <c r="D44" s="538"/>
      <c r="E44" s="539"/>
      <c r="F44" s="160">
        <v>2700</v>
      </c>
      <c r="G44" s="156">
        <f>'Planilha Resumo Custos'!D8</f>
        <v>1000</v>
      </c>
      <c r="H44" s="161">
        <f>I30</f>
        <v>2.17</v>
      </c>
      <c r="I44" s="161">
        <f t="shared" si="0"/>
        <v>2170</v>
      </c>
    </row>
    <row r="45" spans="1:9" ht="30" customHeight="1">
      <c r="A45" s="157">
        <f>'Planilha Resumo Custos'!B9</f>
        <v>6</v>
      </c>
      <c r="B45" s="537" t="str">
        <f>'Planilha Resumo Custos'!C9</f>
        <v>Sala do SCS, Ed. Central</v>
      </c>
      <c r="C45" s="538"/>
      <c r="D45" s="538"/>
      <c r="E45" s="539"/>
      <c r="F45" s="144">
        <v>1100</v>
      </c>
      <c r="G45" s="156">
        <f>'Planilha Resumo Custos'!D9</f>
        <v>66.2</v>
      </c>
      <c r="H45" s="158">
        <f>I36</f>
        <v>5.33</v>
      </c>
      <c r="I45" s="158">
        <f t="shared" si="0"/>
        <v>352.84</v>
      </c>
    </row>
    <row r="46" spans="1:9" ht="15.75" customHeight="1">
      <c r="A46" s="540" t="s">
        <v>41</v>
      </c>
      <c r="B46" s="540"/>
      <c r="C46" s="540"/>
      <c r="D46" s="540"/>
      <c r="E46" s="540"/>
      <c r="F46" s="540"/>
      <c r="G46" s="155">
        <f>TRUNC(SUM(G40:G45),2)</f>
        <v>15490.25</v>
      </c>
      <c r="H46" s="138"/>
      <c r="I46" s="139">
        <f>TRUNC(SUM(I40:I45),2)</f>
        <v>66295.210000000006</v>
      </c>
    </row>
    <row r="47" spans="1:9" ht="9" customHeight="1"/>
    <row r="48" spans="1:9" ht="15.75">
      <c r="A48" s="544" t="s">
        <v>213</v>
      </c>
      <c r="B48" s="544"/>
      <c r="C48" s="544"/>
      <c r="D48" s="544"/>
      <c r="E48" s="544"/>
      <c r="F48" s="544"/>
      <c r="G48" s="544"/>
      <c r="H48" s="544"/>
      <c r="I48" s="544"/>
    </row>
    <row r="49" spans="1:9" ht="31.5">
      <c r="A49" s="134" t="s">
        <v>148</v>
      </c>
      <c r="B49" s="542" t="s">
        <v>199</v>
      </c>
      <c r="C49" s="542"/>
      <c r="D49" s="542"/>
      <c r="E49" s="542" t="s">
        <v>191</v>
      </c>
      <c r="F49" s="542"/>
      <c r="G49" s="135" t="s">
        <v>212</v>
      </c>
      <c r="H49" s="135" t="s">
        <v>200</v>
      </c>
      <c r="I49" s="135" t="s">
        <v>211</v>
      </c>
    </row>
    <row r="50" spans="1:9" ht="30" customHeight="1">
      <c r="A50" s="157">
        <f>A40</f>
        <v>1</v>
      </c>
      <c r="B50" s="543" t="str">
        <f>B40</f>
        <v>Prestação de Serviços de Limpeza e Conservação - Edifício sede - área interna</v>
      </c>
      <c r="C50" s="543"/>
      <c r="D50" s="543"/>
      <c r="E50" s="543" t="s">
        <v>187</v>
      </c>
      <c r="F50" s="543"/>
      <c r="G50" s="143">
        <f>G5</f>
        <v>9.0899999999999998E-4</v>
      </c>
      <c r="H50" s="156">
        <f>G40</f>
        <v>9689.5499999999993</v>
      </c>
      <c r="I50" s="145">
        <f>TRUNC(G50*H50,2)</f>
        <v>8.8000000000000007</v>
      </c>
    </row>
    <row r="51" spans="1:9" ht="30" customHeight="1">
      <c r="A51" s="159">
        <f>A41</f>
        <v>2</v>
      </c>
      <c r="B51" s="543" t="str">
        <f t="shared" ref="B51:B55" si="1">B41</f>
        <v>Prestação de Serviços de Limpeza e Conservação - Edifício sede - área externa</v>
      </c>
      <c r="C51" s="543"/>
      <c r="D51" s="543"/>
      <c r="E51" s="545" t="s">
        <v>187</v>
      </c>
      <c r="F51" s="545"/>
      <c r="G51" s="162">
        <f>G11</f>
        <v>3.6999999999999999E-4</v>
      </c>
      <c r="H51" s="156">
        <f>G41</f>
        <v>1306</v>
      </c>
      <c r="I51" s="145">
        <f>TRUNC(G51*H51,2)</f>
        <v>0.48</v>
      </c>
    </row>
    <row r="52" spans="1:9" ht="30" customHeight="1">
      <c r="A52" s="157">
        <f>A42</f>
        <v>3</v>
      </c>
      <c r="B52" s="543" t="str">
        <f t="shared" si="1"/>
        <v>Prestação de Serviços de Limpeza e Conservação - Edifício sede - Área Esquadria Externa/Interna sem Risco</v>
      </c>
      <c r="C52" s="543"/>
      <c r="D52" s="543"/>
      <c r="E52" s="543" t="s">
        <v>187</v>
      </c>
      <c r="F52" s="543"/>
      <c r="G52" s="143">
        <f>G17</f>
        <v>2.22E-4</v>
      </c>
      <c r="H52" s="156">
        <f t="shared" ref="H52:H55" si="2">G42</f>
        <v>2228.5</v>
      </c>
      <c r="I52" s="145">
        <f t="shared" ref="I52:I55" si="3">TRUNC(G52*H52,2)</f>
        <v>0.49</v>
      </c>
    </row>
    <row r="53" spans="1:9" ht="30" customHeight="1">
      <c r="A53" s="159">
        <f>A43</f>
        <v>4</v>
      </c>
      <c r="B53" s="543" t="str">
        <f t="shared" si="1"/>
        <v>Serviço de Limpeza - Edifício Inácio de Lima Ferreira - Área Interna</v>
      </c>
      <c r="C53" s="543"/>
      <c r="D53" s="543"/>
      <c r="E53" s="545" t="s">
        <v>187</v>
      </c>
      <c r="F53" s="545"/>
      <c r="G53" s="162">
        <f>G23</f>
        <v>9.0899999999999998E-4</v>
      </c>
      <c r="H53" s="156">
        <f t="shared" si="2"/>
        <v>1200</v>
      </c>
      <c r="I53" s="163">
        <f t="shared" si="3"/>
        <v>1.0900000000000001</v>
      </c>
    </row>
    <row r="54" spans="1:9" ht="30" customHeight="1">
      <c r="A54" s="159"/>
      <c r="B54" s="543" t="str">
        <f t="shared" si="1"/>
        <v>Serviço de Limpeza - Edifício Inácio de Lima Ferreira - Área externa</v>
      </c>
      <c r="C54" s="543"/>
      <c r="D54" s="543"/>
      <c r="E54" s="545" t="s">
        <v>187</v>
      </c>
      <c r="F54" s="545"/>
      <c r="G54" s="162">
        <f>G11</f>
        <v>3.6999999999999999E-4</v>
      </c>
      <c r="H54" s="156">
        <f t="shared" si="2"/>
        <v>1000</v>
      </c>
      <c r="I54" s="163">
        <f t="shared" si="3"/>
        <v>0.37</v>
      </c>
    </row>
    <row r="55" spans="1:9" ht="30" customHeight="1">
      <c r="A55" s="157">
        <f>A45</f>
        <v>6</v>
      </c>
      <c r="B55" s="543" t="str">
        <f t="shared" si="1"/>
        <v>Sala do SCS, Ed. Central</v>
      </c>
      <c r="C55" s="543"/>
      <c r="D55" s="543"/>
      <c r="E55" s="543" t="s">
        <v>187</v>
      </c>
      <c r="F55" s="543"/>
      <c r="G55" s="143">
        <f>G35</f>
        <v>9.0899999999999998E-4</v>
      </c>
      <c r="H55" s="156">
        <f t="shared" si="2"/>
        <v>66.2</v>
      </c>
      <c r="I55" s="145">
        <f t="shared" si="3"/>
        <v>0.06</v>
      </c>
    </row>
    <row r="56" spans="1:9" ht="15.75" customHeight="1">
      <c r="A56" s="540" t="s">
        <v>41</v>
      </c>
      <c r="B56" s="540"/>
      <c r="C56" s="540"/>
      <c r="D56" s="540"/>
      <c r="E56" s="540"/>
      <c r="F56" s="540"/>
      <c r="G56" s="142"/>
      <c r="H56" s="155">
        <f>TRUNC(SUM(H50,H51,H52,H53,H55,H54),2)</f>
        <v>15490.25</v>
      </c>
      <c r="I56" s="453"/>
    </row>
    <row r="57" spans="1:9" ht="9" customHeight="1"/>
    <row r="58" spans="1:9" ht="15.75">
      <c r="B58" s="129"/>
      <c r="C58" s="129"/>
      <c r="D58" s="129"/>
      <c r="E58" s="129"/>
      <c r="F58" s="544" t="s">
        <v>210</v>
      </c>
      <c r="G58" s="544"/>
      <c r="H58" s="544"/>
      <c r="I58" s="544"/>
    </row>
    <row r="59" spans="1:9" ht="15.75">
      <c r="A59" s="147"/>
      <c r="C59" s="131"/>
      <c r="D59" s="131"/>
      <c r="E59" s="131"/>
      <c r="F59" s="542" t="s">
        <v>191</v>
      </c>
      <c r="G59" s="542"/>
      <c r="H59" s="135" t="s">
        <v>214</v>
      </c>
      <c r="I59" s="135" t="s">
        <v>215</v>
      </c>
    </row>
    <row r="60" spans="1:9" ht="15.75" customHeight="1">
      <c r="A60" s="149"/>
      <c r="C60" s="146"/>
      <c r="D60" s="146"/>
      <c r="E60" s="146"/>
      <c r="F60" s="548" t="s">
        <v>187</v>
      </c>
      <c r="G60" s="548"/>
      <c r="H60" s="178">
        <f>TRUNC(I50+I51+I52+I53+I55+I54,2)</f>
        <v>11.29</v>
      </c>
      <c r="I60" s="179">
        <v>12</v>
      </c>
    </row>
    <row r="61" spans="1:9">
      <c r="F61" s="547" t="s">
        <v>41</v>
      </c>
      <c r="G61" s="547"/>
      <c r="H61" s="547"/>
      <c r="I61" s="148">
        <f>SUM(I60:I60)</f>
        <v>12</v>
      </c>
    </row>
  </sheetData>
  <mergeCells count="60">
    <mergeCell ref="F61:H61"/>
    <mergeCell ref="A56:F56"/>
    <mergeCell ref="B50:D50"/>
    <mergeCell ref="F58:I58"/>
    <mergeCell ref="F60:G60"/>
    <mergeCell ref="F59:G59"/>
    <mergeCell ref="B55:D55"/>
    <mergeCell ref="B53:D53"/>
    <mergeCell ref="B51:D51"/>
    <mergeCell ref="E51:F51"/>
    <mergeCell ref="B52:D52"/>
    <mergeCell ref="E52:F52"/>
    <mergeCell ref="E50:F50"/>
    <mergeCell ref="B54:D54"/>
    <mergeCell ref="E54:F54"/>
    <mergeCell ref="E49:F49"/>
    <mergeCell ref="E55:F55"/>
    <mergeCell ref="E53:F53"/>
    <mergeCell ref="A1:I1"/>
    <mergeCell ref="A48:I48"/>
    <mergeCell ref="B49:D49"/>
    <mergeCell ref="B20:I20"/>
    <mergeCell ref="B2:I2"/>
    <mergeCell ref="A3:E4"/>
    <mergeCell ref="A6:H6"/>
    <mergeCell ref="A5:E5"/>
    <mergeCell ref="A46:F46"/>
    <mergeCell ref="F3:F4"/>
    <mergeCell ref="B32:I32"/>
    <mergeCell ref="A24:H24"/>
    <mergeCell ref="B41:E41"/>
    <mergeCell ref="B8:I8"/>
    <mergeCell ref="A9:E10"/>
    <mergeCell ref="F9:F10"/>
    <mergeCell ref="A11:E11"/>
    <mergeCell ref="A38:I38"/>
    <mergeCell ref="A23:E23"/>
    <mergeCell ref="A21:E22"/>
    <mergeCell ref="F21:F22"/>
    <mergeCell ref="B26:I26"/>
    <mergeCell ref="A27:E28"/>
    <mergeCell ref="F27:F28"/>
    <mergeCell ref="A29:E29"/>
    <mergeCell ref="A30:H30"/>
    <mergeCell ref="B45:E45"/>
    <mergeCell ref="B43:E43"/>
    <mergeCell ref="A12:H12"/>
    <mergeCell ref="B14:I14"/>
    <mergeCell ref="A15:B16"/>
    <mergeCell ref="C15:C16"/>
    <mergeCell ref="A17:B17"/>
    <mergeCell ref="A33:E34"/>
    <mergeCell ref="F33:F34"/>
    <mergeCell ref="A35:E35"/>
    <mergeCell ref="A36:H36"/>
    <mergeCell ref="A18:H18"/>
    <mergeCell ref="B42:E42"/>
    <mergeCell ref="B40:E40"/>
    <mergeCell ref="B39:E39"/>
    <mergeCell ref="B44:E44"/>
  </mergeCells>
  <pageMargins left="0.19685039370078741" right="0.19685039370078741" top="0.98425196850393704" bottom="0.78740157480314965" header="0.31496062992125984" footer="0.31496062992125984"/>
  <pageSetup paperSize="9" scale="60"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F131"/>
  <sheetViews>
    <sheetView topLeftCell="A90" zoomScale="115" zoomScaleNormal="115" zoomScaleSheetLayoutView="100" workbookViewId="0">
      <selection activeCell="B24" sqref="B24"/>
    </sheetView>
  </sheetViews>
  <sheetFormatPr defaultRowHeight="12"/>
  <cols>
    <col min="1" max="1" width="11" style="1" customWidth="1"/>
    <col min="2" max="2" width="59" style="1" customWidth="1"/>
    <col min="3" max="3" width="15.7109375" style="249" customWidth="1"/>
    <col min="4" max="4" width="22.5703125" style="249" customWidth="1"/>
    <col min="5" max="16384" width="9.140625" style="1"/>
  </cols>
  <sheetData>
    <row r="1" spans="1:6" ht="26.25" customHeight="1">
      <c r="A1" s="552" t="s">
        <v>1</v>
      </c>
      <c r="B1" s="552"/>
      <c r="C1" s="552"/>
      <c r="D1" s="552"/>
    </row>
    <row r="2" spans="1:6" ht="6.75" customHeight="1">
      <c r="A2" s="4"/>
      <c r="B2" s="4"/>
      <c r="C2" s="4"/>
      <c r="D2" s="5"/>
    </row>
    <row r="3" spans="1:6" ht="15">
      <c r="A3" s="553" t="s">
        <v>388</v>
      </c>
      <c r="B3" s="554"/>
      <c r="C3" s="555" t="s">
        <v>371</v>
      </c>
      <c r="D3" s="556"/>
    </row>
    <row r="4" spans="1:6" ht="15">
      <c r="A4" s="553" t="s">
        <v>389</v>
      </c>
      <c r="B4" s="554"/>
      <c r="C4" s="555"/>
      <c r="D4" s="556"/>
    </row>
    <row r="5" spans="1:6" ht="12" customHeight="1">
      <c r="A5" s="6"/>
      <c r="B5" s="6"/>
      <c r="C5" s="2"/>
      <c r="D5" s="3"/>
    </row>
    <row r="6" spans="1:6" ht="15">
      <c r="A6" s="557" t="s">
        <v>2</v>
      </c>
      <c r="B6" s="558"/>
      <c r="C6" s="558"/>
      <c r="D6" s="557"/>
    </row>
    <row r="7" spans="1:6" ht="15">
      <c r="A7" s="28" t="s">
        <v>3</v>
      </c>
      <c r="B7" s="29" t="s">
        <v>4</v>
      </c>
      <c r="C7" s="251"/>
      <c r="D7" s="30"/>
      <c r="F7"/>
    </row>
    <row r="8" spans="1:6" ht="15">
      <c r="A8" s="31" t="s">
        <v>5</v>
      </c>
      <c r="B8" s="32" t="s">
        <v>6</v>
      </c>
      <c r="C8" s="251"/>
      <c r="D8" s="221" t="s">
        <v>7</v>
      </c>
    </row>
    <row r="9" spans="1:6" ht="15">
      <c r="A9" s="31" t="s">
        <v>8</v>
      </c>
      <c r="B9" s="32" t="s">
        <v>9</v>
      </c>
      <c r="C9" s="559" t="s">
        <v>730</v>
      </c>
      <c r="D9" s="559"/>
    </row>
    <row r="10" spans="1:6" ht="15">
      <c r="A10" s="31" t="s">
        <v>10</v>
      </c>
      <c r="B10" s="32" t="s">
        <v>11</v>
      </c>
      <c r="C10" s="252"/>
      <c r="D10" s="222">
        <v>12</v>
      </c>
    </row>
    <row r="11" spans="1:6" ht="15">
      <c r="A11" s="31" t="s">
        <v>12</v>
      </c>
      <c r="B11" s="32" t="s">
        <v>147</v>
      </c>
      <c r="C11" s="253"/>
      <c r="D11" s="223" t="s">
        <v>0</v>
      </c>
    </row>
    <row r="12" spans="1:6" ht="15">
      <c r="A12" s="31" t="s">
        <v>21</v>
      </c>
      <c r="B12" s="32" t="s">
        <v>13</v>
      </c>
      <c r="C12" s="254"/>
      <c r="D12" s="224">
        <f>MC!D60</f>
        <v>20.98</v>
      </c>
    </row>
    <row r="13" spans="1:6" ht="15">
      <c r="A13" s="31" t="s">
        <v>22</v>
      </c>
      <c r="B13" s="32" t="s">
        <v>163</v>
      </c>
      <c r="C13" s="254"/>
      <c r="D13" s="225" t="s">
        <v>186</v>
      </c>
    </row>
    <row r="14" spans="1:6" ht="9.75" customHeight="1">
      <c r="A14" s="33"/>
      <c r="B14" s="33"/>
      <c r="C14" s="255"/>
      <c r="D14" s="3"/>
    </row>
    <row r="15" spans="1:6" ht="15">
      <c r="A15" s="560" t="s">
        <v>14</v>
      </c>
      <c r="B15" s="561"/>
      <c r="C15" s="561"/>
      <c r="D15" s="562"/>
    </row>
    <row r="16" spans="1:6" ht="15" customHeight="1">
      <c r="A16" s="28">
        <v>1</v>
      </c>
      <c r="B16" s="550" t="s">
        <v>15</v>
      </c>
      <c r="C16" s="550"/>
      <c r="D16" s="301" t="s">
        <v>187</v>
      </c>
    </row>
    <row r="17" spans="1:4" ht="15">
      <c r="A17" s="31">
        <v>2</v>
      </c>
      <c r="B17" s="550" t="s">
        <v>16</v>
      </c>
      <c r="C17" s="550"/>
      <c r="D17" s="226"/>
    </row>
    <row r="18" spans="1:4" ht="15">
      <c r="A18" s="31">
        <v>3</v>
      </c>
      <c r="B18" s="551" t="s">
        <v>17</v>
      </c>
      <c r="C18" s="551"/>
      <c r="D18" s="227">
        <v>1743.69</v>
      </c>
    </row>
    <row r="19" spans="1:4" ht="15">
      <c r="A19" s="31">
        <v>4</v>
      </c>
      <c r="B19" s="550" t="s">
        <v>18</v>
      </c>
      <c r="C19" s="550"/>
      <c r="D19" s="228">
        <v>45658</v>
      </c>
    </row>
    <row r="20" spans="1:4" ht="15">
      <c r="A20" s="14"/>
      <c r="B20" s="14"/>
      <c r="C20" s="229"/>
      <c r="D20" s="229"/>
    </row>
    <row r="21" spans="1:4" ht="15">
      <c r="A21" s="563" t="s">
        <v>93</v>
      </c>
      <c r="B21" s="563"/>
      <c r="C21" s="563"/>
      <c r="D21" s="563"/>
    </row>
    <row r="22" spans="1:4" ht="15">
      <c r="A22" s="11">
        <v>1</v>
      </c>
      <c r="B22" s="11" t="s">
        <v>19</v>
      </c>
      <c r="C22" s="256" t="s">
        <v>86</v>
      </c>
      <c r="D22" s="230" t="s">
        <v>87</v>
      </c>
    </row>
    <row r="23" spans="1:4" ht="15">
      <c r="A23" s="10" t="s">
        <v>3</v>
      </c>
      <c r="B23" s="20" t="s">
        <v>20</v>
      </c>
      <c r="C23" s="257">
        <v>1</v>
      </c>
      <c r="D23" s="185">
        <f>D18</f>
        <v>1743.69</v>
      </c>
    </row>
    <row r="24" spans="1:4" ht="15">
      <c r="A24" s="12" t="s">
        <v>5</v>
      </c>
      <c r="B24" s="13" t="s">
        <v>152</v>
      </c>
      <c r="C24" s="257">
        <v>0</v>
      </c>
      <c r="D24" s="184">
        <f>TRUNC((D18)*C24,2)</f>
        <v>0</v>
      </c>
    </row>
    <row r="25" spans="1:4" ht="15">
      <c r="A25" s="12" t="s">
        <v>8</v>
      </c>
      <c r="B25" s="13" t="s">
        <v>153</v>
      </c>
      <c r="C25" s="257">
        <v>0</v>
      </c>
      <c r="D25" s="184">
        <f>TRUNC((D18)*C25,2)</f>
        <v>0</v>
      </c>
    </row>
    <row r="26" spans="1:4" ht="15">
      <c r="A26" s="10" t="s">
        <v>10</v>
      </c>
      <c r="B26" s="20" t="s">
        <v>154</v>
      </c>
      <c r="C26" s="257">
        <v>0</v>
      </c>
      <c r="D26" s="185">
        <f>TRUNC((((D23+D24+D25)/220)*C26)*(D12*7),2)</f>
        <v>0</v>
      </c>
    </row>
    <row r="27" spans="1:4" ht="15">
      <c r="A27" s="10" t="s">
        <v>12</v>
      </c>
      <c r="B27" s="20" t="s">
        <v>229</v>
      </c>
      <c r="C27" s="257">
        <v>0</v>
      </c>
      <c r="D27" s="185">
        <v>0</v>
      </c>
    </row>
    <row r="28" spans="1:4" ht="15">
      <c r="A28" s="564" t="s">
        <v>84</v>
      </c>
      <c r="B28" s="565"/>
      <c r="C28" s="566"/>
      <c r="D28" s="280">
        <f>TRUNC(SUM(D23:D27),2)</f>
        <v>1743.69</v>
      </c>
    </row>
    <row r="29" spans="1:4" ht="15">
      <c r="A29" s="8"/>
      <c r="B29" s="8"/>
      <c r="C29" s="2"/>
      <c r="D29" s="232"/>
    </row>
    <row r="30" spans="1:4" ht="15">
      <c r="A30" s="567" t="s">
        <v>94</v>
      </c>
      <c r="B30" s="567"/>
      <c r="C30" s="567"/>
      <c r="D30" s="567"/>
    </row>
    <row r="31" spans="1:4" ht="15">
      <c r="A31" s="568" t="s">
        <v>23</v>
      </c>
      <c r="B31" s="568"/>
      <c r="C31" s="568"/>
      <c r="D31" s="568"/>
    </row>
    <row r="32" spans="1:4" ht="15">
      <c r="A32" s="15" t="s">
        <v>24</v>
      </c>
      <c r="B32" s="15" t="s">
        <v>25</v>
      </c>
      <c r="C32" s="237" t="s">
        <v>86</v>
      </c>
      <c r="D32" s="233" t="s">
        <v>87</v>
      </c>
    </row>
    <row r="33" spans="1:4" ht="15">
      <c r="A33" s="9" t="s">
        <v>3</v>
      </c>
      <c r="B33" s="19" t="s">
        <v>26</v>
      </c>
      <c r="C33" s="258">
        <v>8.3299999999999999E-2</v>
      </c>
      <c r="D33" s="234">
        <f>TRUNC($D28*C33,2)</f>
        <v>145.24</v>
      </c>
    </row>
    <row r="34" spans="1:4" ht="15">
      <c r="A34" s="17" t="s">
        <v>5</v>
      </c>
      <c r="B34" s="18" t="s">
        <v>27</v>
      </c>
      <c r="C34" s="259">
        <v>2.7799999999999998E-2</v>
      </c>
      <c r="D34" s="234">
        <f>TRUNC(D$28*C34,2)</f>
        <v>48.47</v>
      </c>
    </row>
    <row r="35" spans="1:4" ht="15">
      <c r="A35" s="569" t="s">
        <v>85</v>
      </c>
      <c r="B35" s="569"/>
      <c r="C35" s="260">
        <f>TRUNC(SUM(C33:C34),5)</f>
        <v>0.1111</v>
      </c>
      <c r="D35" s="235">
        <f>TRUNC(SUM(D33:D34),2)</f>
        <v>193.71</v>
      </c>
    </row>
    <row r="36" spans="1:4" ht="30">
      <c r="A36" s="17" t="s">
        <v>8</v>
      </c>
      <c r="B36" s="18" t="s">
        <v>218</v>
      </c>
      <c r="C36" s="259">
        <f>C35*C49</f>
        <v>4.4217800000000002E-2</v>
      </c>
      <c r="D36" s="234">
        <f>TRUNC(D$28*C36,2)</f>
        <v>77.099999999999994</v>
      </c>
    </row>
    <row r="37" spans="1:4" ht="15">
      <c r="A37" s="569" t="s">
        <v>28</v>
      </c>
      <c r="B37" s="569"/>
      <c r="C37" s="260">
        <f>TRUNC(SUM(C35:C36),5)</f>
        <v>0.15531</v>
      </c>
      <c r="D37" s="236">
        <f>TRUNC(SUM(D35:D36),2)</f>
        <v>270.81</v>
      </c>
    </row>
    <row r="38" spans="1:4" ht="7.5" customHeight="1">
      <c r="A38" s="14"/>
      <c r="B38" s="14"/>
      <c r="C38" s="229"/>
      <c r="D38" s="229"/>
    </row>
    <row r="39" spans="1:4" ht="15">
      <c r="A39" s="570" t="s">
        <v>29</v>
      </c>
      <c r="B39" s="570"/>
      <c r="C39" s="570"/>
      <c r="D39" s="570"/>
    </row>
    <row r="40" spans="1:4" ht="15">
      <c r="A40" s="16" t="s">
        <v>30</v>
      </c>
      <c r="B40" s="23" t="s">
        <v>31</v>
      </c>
      <c r="C40" s="237" t="s">
        <v>86</v>
      </c>
      <c r="D40" s="237" t="s">
        <v>87</v>
      </c>
    </row>
    <row r="41" spans="1:4" ht="15">
      <c r="A41" s="22" t="s">
        <v>3</v>
      </c>
      <c r="B41" s="19" t="s">
        <v>32</v>
      </c>
      <c r="C41" s="261">
        <f>MC!D17</f>
        <v>0.2</v>
      </c>
      <c r="D41" s="234">
        <f>TRUNC(D$28*C41,2)</f>
        <v>348.73</v>
      </c>
    </row>
    <row r="42" spans="1:4" ht="15">
      <c r="A42" s="22" t="s">
        <v>5</v>
      </c>
      <c r="B42" s="19" t="s">
        <v>33</v>
      </c>
      <c r="C42" s="261">
        <f>MC!D18</f>
        <v>2.5000000000000001E-2</v>
      </c>
      <c r="D42" s="234">
        <f t="shared" ref="D42:D48" si="0">TRUNC(D$28*C42,2)</f>
        <v>43.59</v>
      </c>
    </row>
    <row r="43" spans="1:4" ht="15">
      <c r="A43" s="22" t="s">
        <v>8</v>
      </c>
      <c r="B43" s="19" t="s">
        <v>34</v>
      </c>
      <c r="C43" s="261">
        <f>MC!D19</f>
        <v>0.06</v>
      </c>
      <c r="D43" s="234">
        <f>TRUNC(D$28*C43,2)</f>
        <v>104.62</v>
      </c>
    </row>
    <row r="44" spans="1:4" ht="15">
      <c r="A44" s="22" t="s">
        <v>10</v>
      </c>
      <c r="B44" s="19" t="s">
        <v>35</v>
      </c>
      <c r="C44" s="261">
        <f>MC!D21</f>
        <v>1.4999999999999999E-2</v>
      </c>
      <c r="D44" s="234">
        <f t="shared" si="0"/>
        <v>26.15</v>
      </c>
    </row>
    <row r="45" spans="1:4" ht="15">
      <c r="A45" s="22" t="s">
        <v>12</v>
      </c>
      <c r="B45" s="19" t="s">
        <v>36</v>
      </c>
      <c r="C45" s="261">
        <f>MC!D22</f>
        <v>0.01</v>
      </c>
      <c r="D45" s="234">
        <f t="shared" si="0"/>
        <v>17.43</v>
      </c>
    </row>
    <row r="46" spans="1:4" ht="15">
      <c r="A46" s="22" t="s">
        <v>21</v>
      </c>
      <c r="B46" s="19" t="s">
        <v>37</v>
      </c>
      <c r="C46" s="261">
        <f>MC!D23</f>
        <v>6.0000000000000001E-3</v>
      </c>
      <c r="D46" s="234">
        <f t="shared" si="0"/>
        <v>10.46</v>
      </c>
    </row>
    <row r="47" spans="1:4" ht="15">
      <c r="A47" s="22" t="s">
        <v>22</v>
      </c>
      <c r="B47" s="19" t="s">
        <v>38</v>
      </c>
      <c r="C47" s="261">
        <f>MC!D24</f>
        <v>2E-3</v>
      </c>
      <c r="D47" s="234">
        <f t="shared" si="0"/>
        <v>3.48</v>
      </c>
    </row>
    <row r="48" spans="1:4" ht="15">
      <c r="A48" s="22" t="s">
        <v>39</v>
      </c>
      <c r="B48" s="19" t="s">
        <v>40</v>
      </c>
      <c r="C48" s="261">
        <f>MC!D25</f>
        <v>0.08</v>
      </c>
      <c r="D48" s="234">
        <f t="shared" si="0"/>
        <v>139.49</v>
      </c>
    </row>
    <row r="49" spans="1:4" ht="15">
      <c r="A49" s="571" t="s">
        <v>41</v>
      </c>
      <c r="B49" s="571"/>
      <c r="C49" s="262">
        <f>TRUNC(SUM(C41:C48),5)</f>
        <v>0.39800000000000002</v>
      </c>
      <c r="D49" s="238">
        <f>TRUNC(SUM(D41:D48),2)</f>
        <v>693.95</v>
      </c>
    </row>
    <row r="50" spans="1:4" ht="7.5" customHeight="1">
      <c r="A50" s="7"/>
      <c r="B50" s="7"/>
      <c r="C50" s="4"/>
      <c r="D50" s="232"/>
    </row>
    <row r="51" spans="1:4" ht="15">
      <c r="A51" s="570" t="s">
        <v>42</v>
      </c>
      <c r="B51" s="570"/>
      <c r="C51" s="570"/>
      <c r="D51" s="570"/>
    </row>
    <row r="52" spans="1:4" ht="15">
      <c r="A52" s="16" t="s">
        <v>43</v>
      </c>
      <c r="B52" s="572" t="s">
        <v>44</v>
      </c>
      <c r="C52" s="573"/>
      <c r="D52" s="239" t="s">
        <v>87</v>
      </c>
    </row>
    <row r="53" spans="1:4" ht="15">
      <c r="A53" s="26" t="s">
        <v>3</v>
      </c>
      <c r="B53" s="25" t="s">
        <v>88</v>
      </c>
      <c r="C53" s="182">
        <f>MC!C30</f>
        <v>377.64</v>
      </c>
      <c r="D53" s="180">
        <f>TRUNC((C53)-(D23*6%),2)</f>
        <v>273.01</v>
      </c>
    </row>
    <row r="54" spans="1:4" ht="15">
      <c r="A54" s="26" t="s">
        <v>5</v>
      </c>
      <c r="B54" s="25" t="s">
        <v>89</v>
      </c>
      <c r="C54" s="263">
        <f>MC!C34</f>
        <v>44.3</v>
      </c>
      <c r="D54" s="180">
        <f>TRUNC(C54*$D$12,2)</f>
        <v>929.41</v>
      </c>
    </row>
    <row r="55" spans="1:4" ht="15">
      <c r="A55" s="26" t="s">
        <v>8</v>
      </c>
      <c r="B55" s="25" t="s">
        <v>217</v>
      </c>
      <c r="C55" s="182">
        <f>MC!C41</f>
        <v>200</v>
      </c>
      <c r="D55" s="181">
        <f>TRUNC(C55,2)</f>
        <v>200</v>
      </c>
    </row>
    <row r="56" spans="1:4" ht="15">
      <c r="A56" s="26" t="s">
        <v>10</v>
      </c>
      <c r="B56" s="25" t="s">
        <v>90</v>
      </c>
      <c r="C56" s="182">
        <f>MC!C47</f>
        <v>13.64</v>
      </c>
      <c r="D56" s="181">
        <f>TRUNC(C56,2)</f>
        <v>13.64</v>
      </c>
    </row>
    <row r="57" spans="1:4" ht="15">
      <c r="A57" s="17" t="s">
        <v>45</v>
      </c>
      <c r="B57" s="34" t="s">
        <v>162</v>
      </c>
      <c r="C57" s="264">
        <f>MC!C53</f>
        <v>3.61</v>
      </c>
      <c r="D57" s="181">
        <f>TRUNC(C57,2)</f>
        <v>3.61</v>
      </c>
    </row>
    <row r="58" spans="1:4" ht="15">
      <c r="A58" s="17" t="s">
        <v>469</v>
      </c>
      <c r="B58" s="34" t="s">
        <v>470</v>
      </c>
      <c r="C58" s="264">
        <v>0</v>
      </c>
      <c r="D58" s="181">
        <f>TRUNC(C58,2)</f>
        <v>0</v>
      </c>
    </row>
    <row r="59" spans="1:4" ht="15">
      <c r="A59" s="569" t="s">
        <v>41</v>
      </c>
      <c r="B59" s="569"/>
      <c r="C59" s="569"/>
      <c r="D59" s="231">
        <f>TRUNC(SUM(D53:D58),2)</f>
        <v>1419.67</v>
      </c>
    </row>
    <row r="60" spans="1:4" ht="9.75" customHeight="1">
      <c r="A60" s="8"/>
      <c r="B60" s="8"/>
      <c r="C60" s="2"/>
      <c r="D60" s="232"/>
    </row>
    <row r="61" spans="1:4" ht="15">
      <c r="A61" s="567" t="s">
        <v>46</v>
      </c>
      <c r="B61" s="567"/>
      <c r="C61" s="567"/>
      <c r="D61" s="567"/>
    </row>
    <row r="62" spans="1:4" ht="15">
      <c r="A62" s="11">
        <v>2</v>
      </c>
      <c r="B62" s="574" t="s">
        <v>47</v>
      </c>
      <c r="C62" s="574"/>
      <c r="D62" s="230" t="s">
        <v>87</v>
      </c>
    </row>
    <row r="63" spans="1:4" ht="15">
      <c r="A63" s="10" t="s">
        <v>24</v>
      </c>
      <c r="B63" s="575" t="s">
        <v>25</v>
      </c>
      <c r="C63" s="575"/>
      <c r="D63" s="240">
        <f>TRUNC(D37,2)</f>
        <v>270.81</v>
      </c>
    </row>
    <row r="64" spans="1:4" ht="15">
      <c r="A64" s="10" t="s">
        <v>30</v>
      </c>
      <c r="B64" s="575" t="s">
        <v>31</v>
      </c>
      <c r="C64" s="575"/>
      <c r="D64" s="240">
        <f>TRUNC(D49,2)</f>
        <v>693.95</v>
      </c>
    </row>
    <row r="65" spans="1:5" ht="15">
      <c r="A65" s="10" t="s">
        <v>43</v>
      </c>
      <c r="B65" s="575" t="s">
        <v>44</v>
      </c>
      <c r="C65" s="575"/>
      <c r="D65" s="240">
        <f>TRUNC(D59,2)</f>
        <v>1419.67</v>
      </c>
    </row>
    <row r="66" spans="1:5" ht="15">
      <c r="A66" s="576" t="s">
        <v>48</v>
      </c>
      <c r="B66" s="576"/>
      <c r="C66" s="576"/>
      <c r="D66" s="279">
        <f>TRUNC(SUM(D63:D65),2)</f>
        <v>2384.4299999999998</v>
      </c>
    </row>
    <row r="67" spans="1:5" ht="15">
      <c r="A67" s="8"/>
      <c r="B67" s="8"/>
      <c r="C67" s="2"/>
      <c r="D67" s="232"/>
    </row>
    <row r="68" spans="1:5" ht="15">
      <c r="A68" s="577" t="s">
        <v>49</v>
      </c>
      <c r="B68" s="577"/>
      <c r="C68" s="577"/>
      <c r="D68" s="577"/>
    </row>
    <row r="69" spans="1:5" ht="15">
      <c r="A69" s="11">
        <v>3</v>
      </c>
      <c r="B69" s="11" t="s">
        <v>50</v>
      </c>
      <c r="C69" s="230" t="s">
        <v>86</v>
      </c>
      <c r="D69" s="230" t="s">
        <v>87</v>
      </c>
    </row>
    <row r="70" spans="1:5" ht="15">
      <c r="A70" s="21" t="s">
        <v>3</v>
      </c>
      <c r="B70" s="35" t="s">
        <v>51</v>
      </c>
      <c r="C70" s="265">
        <f>MC!D67</f>
        <v>8.3000000000000001E-3</v>
      </c>
      <c r="D70" s="234">
        <f>TRUNC(D$28*C70,2)</f>
        <v>14.47</v>
      </c>
    </row>
    <row r="71" spans="1:5" ht="15">
      <c r="A71" s="26" t="s">
        <v>5</v>
      </c>
      <c r="B71" s="19" t="s">
        <v>52</v>
      </c>
      <c r="C71" s="265">
        <f>MC!D68</f>
        <v>5.9999999999999995E-4</v>
      </c>
      <c r="D71" s="234">
        <f t="shared" ref="D71:D74" si="1">TRUNC(D$28*C71,2)</f>
        <v>1.04</v>
      </c>
    </row>
    <row r="72" spans="1:5" ht="15">
      <c r="A72" s="26" t="s">
        <v>8</v>
      </c>
      <c r="B72" s="19" t="s">
        <v>53</v>
      </c>
      <c r="C72" s="265">
        <v>0.4</v>
      </c>
      <c r="D72" s="234">
        <f>0.4*0.08*0.1*(D28+D33+D34)</f>
        <v>6.1996800000000007</v>
      </c>
      <c r="E72" s="194"/>
    </row>
    <row r="73" spans="1:5" ht="15">
      <c r="A73" s="26" t="s">
        <v>10</v>
      </c>
      <c r="B73" s="19" t="s">
        <v>122</v>
      </c>
      <c r="C73" s="265">
        <f>MC!D70</f>
        <v>1.9400000000000001E-2</v>
      </c>
      <c r="D73" s="234">
        <f t="shared" si="1"/>
        <v>33.82</v>
      </c>
    </row>
    <row r="74" spans="1:5" ht="30">
      <c r="A74" s="26" t="s">
        <v>12</v>
      </c>
      <c r="B74" s="19" t="s">
        <v>91</v>
      </c>
      <c r="C74" s="265">
        <f>MC!D71</f>
        <v>7.7000000000000002E-3</v>
      </c>
      <c r="D74" s="234">
        <f t="shared" si="1"/>
        <v>13.42</v>
      </c>
    </row>
    <row r="75" spans="1:5" ht="15">
      <c r="A75" s="39" t="s">
        <v>21</v>
      </c>
      <c r="B75" s="18" t="s">
        <v>54</v>
      </c>
      <c r="C75" s="273">
        <v>0.4</v>
      </c>
      <c r="D75" s="274">
        <f>0.08*0.4*(D28+D33+D34)</f>
        <v>61.996800000000007</v>
      </c>
    </row>
    <row r="76" spans="1:5" ht="15">
      <c r="A76" s="578" t="s">
        <v>41</v>
      </c>
      <c r="B76" s="578"/>
      <c r="C76" s="276">
        <f>TRUNC(SUM(C70:C75),5)</f>
        <v>0.83599999999999997</v>
      </c>
      <c r="D76" s="277">
        <f>TRUNC(SUM(D70:D75),2)</f>
        <v>130.94</v>
      </c>
    </row>
    <row r="77" spans="1:5" ht="15">
      <c r="A77" s="36"/>
      <c r="B77" s="36"/>
      <c r="C77" s="241"/>
      <c r="D77" s="241"/>
    </row>
    <row r="78" spans="1:5" ht="15">
      <c r="A78" s="579" t="s">
        <v>55</v>
      </c>
      <c r="B78" s="579"/>
      <c r="C78" s="579"/>
      <c r="D78" s="579"/>
    </row>
    <row r="79" spans="1:5" ht="15">
      <c r="A79" s="580" t="s">
        <v>56</v>
      </c>
      <c r="B79" s="580"/>
      <c r="C79" s="580"/>
      <c r="D79" s="580"/>
    </row>
    <row r="80" spans="1:5" ht="15">
      <c r="A80" s="37" t="s">
        <v>57</v>
      </c>
      <c r="B80" s="37" t="s">
        <v>58</v>
      </c>
      <c r="C80" s="242" t="s">
        <v>86</v>
      </c>
      <c r="D80" s="242" t="s">
        <v>87</v>
      </c>
    </row>
    <row r="81" spans="1:4" ht="15">
      <c r="A81" s="10" t="s">
        <v>3</v>
      </c>
      <c r="B81" s="38" t="s">
        <v>59</v>
      </c>
      <c r="C81" s="266">
        <f>MC!D77</f>
        <v>8.3299999999999999E-2</v>
      </c>
      <c r="D81" s="234">
        <f>TRUNC(D$28*C81,2)</f>
        <v>145.24</v>
      </c>
    </row>
    <row r="82" spans="1:4" ht="15">
      <c r="A82" s="10" t="s">
        <v>5</v>
      </c>
      <c r="B82" s="38" t="s">
        <v>60</v>
      </c>
      <c r="C82" s="266">
        <f>MC!D78</f>
        <v>1.3899999999999999E-2</v>
      </c>
      <c r="D82" s="234">
        <f t="shared" ref="D82:D83" si="2">TRUNC(D$28*C82,2)</f>
        <v>24.23</v>
      </c>
    </row>
    <row r="83" spans="1:4" ht="15">
      <c r="A83" s="10" t="s">
        <v>8</v>
      </c>
      <c r="B83" s="38" t="s">
        <v>61</v>
      </c>
      <c r="C83" s="266">
        <f>MC!D79</f>
        <v>6.9999999999999999E-4</v>
      </c>
      <c r="D83" s="234">
        <f t="shared" si="2"/>
        <v>1.22</v>
      </c>
    </row>
    <row r="84" spans="1:4" ht="15">
      <c r="A84" s="10" t="s">
        <v>10</v>
      </c>
      <c r="B84" s="38" t="s">
        <v>62</v>
      </c>
      <c r="C84" s="266">
        <f>MC!D80</f>
        <v>8.3333333333333332E-3</v>
      </c>
      <c r="D84" s="234">
        <f>TRUNC(D$28*C84,2)</f>
        <v>14.53</v>
      </c>
    </row>
    <row r="85" spans="1:4" ht="15">
      <c r="A85" s="83" t="s">
        <v>12</v>
      </c>
      <c r="B85" s="84" t="s">
        <v>63</v>
      </c>
      <c r="C85" s="266">
        <f>MC!D81</f>
        <v>3.7037037037037035E-4</v>
      </c>
      <c r="D85" s="234">
        <f>TRUNC(D$28*C85,2)</f>
        <v>0.64</v>
      </c>
    </row>
    <row r="86" spans="1:4" ht="15">
      <c r="A86" s="581" t="s">
        <v>155</v>
      </c>
      <c r="B86" s="581"/>
      <c r="C86" s="260">
        <f>TRUNC(SUM(C81:C85),5)</f>
        <v>0.1066</v>
      </c>
      <c r="D86" s="236">
        <f>TRUNC(SUM(D81:D85),2)</f>
        <v>185.86</v>
      </c>
    </row>
    <row r="87" spans="1:4" ht="15">
      <c r="A87" s="10" t="s">
        <v>21</v>
      </c>
      <c r="B87" s="38" t="s">
        <v>219</v>
      </c>
      <c r="C87" s="266">
        <f>C86*C49</f>
        <v>4.2426800000000001E-2</v>
      </c>
      <c r="D87" s="240">
        <f>TRUNC(D$28*C87,2)</f>
        <v>73.97</v>
      </c>
    </row>
    <row r="88" spans="1:4" ht="15">
      <c r="A88" s="581" t="s">
        <v>41</v>
      </c>
      <c r="B88" s="581"/>
      <c r="C88" s="260">
        <f>TRUNC(SUM(C86:C87),5)</f>
        <v>0.14902000000000001</v>
      </c>
      <c r="D88" s="236">
        <f>TRUNC(SUM(D86:D87),2)</f>
        <v>259.83</v>
      </c>
    </row>
    <row r="89" spans="1:4" ht="8.25" customHeight="1">
      <c r="A89" s="7"/>
      <c r="B89" s="7"/>
      <c r="C89" s="4"/>
      <c r="D89" s="232"/>
    </row>
    <row r="90" spans="1:4" ht="15">
      <c r="A90" s="582" t="s">
        <v>64</v>
      </c>
      <c r="B90" s="582"/>
      <c r="C90" s="582"/>
      <c r="D90" s="582"/>
    </row>
    <row r="91" spans="1:4" ht="15">
      <c r="A91" s="16" t="s">
        <v>65</v>
      </c>
      <c r="B91" s="16" t="s">
        <v>66</v>
      </c>
      <c r="C91" s="237" t="s">
        <v>86</v>
      </c>
      <c r="D91" s="237" t="s">
        <v>87</v>
      </c>
    </row>
    <row r="92" spans="1:4" ht="30">
      <c r="A92" s="39" t="s">
        <v>3</v>
      </c>
      <c r="B92" s="18" t="s">
        <v>67</v>
      </c>
      <c r="C92" s="267">
        <v>0</v>
      </c>
      <c r="D92" s="243">
        <v>0</v>
      </c>
    </row>
    <row r="93" spans="1:4" ht="15">
      <c r="A93" s="581" t="s">
        <v>41</v>
      </c>
      <c r="B93" s="581"/>
      <c r="C93" s="268">
        <f>TRUNC(SUM(C92),4)</f>
        <v>0</v>
      </c>
      <c r="D93" s="244">
        <f>TRUNC(D92,2)</f>
        <v>0</v>
      </c>
    </row>
    <row r="94" spans="1:4" ht="15">
      <c r="A94" s="8"/>
      <c r="B94" s="8"/>
      <c r="C94" s="2"/>
      <c r="D94" s="232"/>
    </row>
    <row r="95" spans="1:4" ht="15">
      <c r="A95" s="579" t="s">
        <v>68</v>
      </c>
      <c r="B95" s="579"/>
      <c r="C95" s="579"/>
      <c r="D95" s="579"/>
    </row>
    <row r="96" spans="1:4" ht="15">
      <c r="A96" s="11">
        <v>4</v>
      </c>
      <c r="B96" s="581" t="s">
        <v>69</v>
      </c>
      <c r="C96" s="581"/>
      <c r="D96" s="230" t="s">
        <v>87</v>
      </c>
    </row>
    <row r="97" spans="1:4" ht="15">
      <c r="A97" s="88" t="s">
        <v>57</v>
      </c>
      <c r="B97" s="575" t="s">
        <v>58</v>
      </c>
      <c r="C97" s="575"/>
      <c r="D97" s="245">
        <f>TRUNC(D88,2)</f>
        <v>259.83</v>
      </c>
    </row>
    <row r="98" spans="1:4" ht="15">
      <c r="A98" s="88" t="s">
        <v>65</v>
      </c>
      <c r="B98" s="575" t="s">
        <v>66</v>
      </c>
      <c r="C98" s="575"/>
      <c r="D98" s="246">
        <v>0</v>
      </c>
    </row>
    <row r="99" spans="1:4" ht="15">
      <c r="A99" s="583" t="s">
        <v>41</v>
      </c>
      <c r="B99" s="583"/>
      <c r="C99" s="583"/>
      <c r="D99" s="272">
        <f>TRUNC(SUM(D97:D98),2)</f>
        <v>259.83</v>
      </c>
    </row>
    <row r="100" spans="1:4" ht="15">
      <c r="A100" s="8"/>
      <c r="B100" s="8"/>
      <c r="C100" s="2"/>
      <c r="D100" s="232"/>
    </row>
    <row r="101" spans="1:4" ht="15">
      <c r="A101" s="584" t="s">
        <v>80</v>
      </c>
      <c r="B101" s="584"/>
      <c r="C101" s="584"/>
      <c r="D101" s="584"/>
    </row>
    <row r="102" spans="1:4" ht="15">
      <c r="A102" s="41">
        <v>5</v>
      </c>
      <c r="B102" s="585" t="s">
        <v>92</v>
      </c>
      <c r="C102" s="586"/>
      <c r="D102" s="247" t="s">
        <v>87</v>
      </c>
    </row>
    <row r="103" spans="1:4" ht="15">
      <c r="A103" s="40" t="s">
        <v>3</v>
      </c>
      <c r="B103" s="587" t="s">
        <v>157</v>
      </c>
      <c r="C103" s="587"/>
      <c r="D103" s="181">
        <f>Unif_Equip!E39</f>
        <v>32.86</v>
      </c>
    </row>
    <row r="104" spans="1:4" ht="15">
      <c r="A104" s="40" t="s">
        <v>5</v>
      </c>
      <c r="B104" s="587" t="s">
        <v>158</v>
      </c>
      <c r="C104" s="587"/>
      <c r="D104" s="181"/>
    </row>
    <row r="105" spans="1:4" ht="15">
      <c r="A105" s="40" t="s">
        <v>8</v>
      </c>
      <c r="B105" s="588" t="s">
        <v>159</v>
      </c>
      <c r="C105" s="589"/>
      <c r="D105" s="181">
        <f>Unif_Equip!I87</f>
        <v>27.19</v>
      </c>
    </row>
    <row r="106" spans="1:4" ht="15">
      <c r="A106" s="40" t="s">
        <v>12</v>
      </c>
      <c r="B106" s="588" t="s">
        <v>151</v>
      </c>
      <c r="C106" s="589"/>
      <c r="D106" s="181"/>
    </row>
    <row r="107" spans="1:4" ht="15">
      <c r="A107" s="590" t="s">
        <v>41</v>
      </c>
      <c r="B107" s="590"/>
      <c r="C107" s="590"/>
      <c r="D107" s="289">
        <f>TRUNC(SUM(D103:D106),2)</f>
        <v>60.05</v>
      </c>
    </row>
    <row r="108" spans="1:4" ht="15">
      <c r="A108" s="8"/>
      <c r="B108" s="8"/>
      <c r="C108" s="2"/>
      <c r="D108" s="3"/>
    </row>
    <row r="109" spans="1:4" ht="15">
      <c r="A109" s="591" t="s">
        <v>95</v>
      </c>
      <c r="B109" s="591"/>
      <c r="C109" s="591"/>
      <c r="D109" s="591"/>
    </row>
    <row r="110" spans="1:4" ht="15">
      <c r="A110" s="11">
        <v>6</v>
      </c>
      <c r="B110" s="42" t="s">
        <v>70</v>
      </c>
      <c r="C110" s="230" t="s">
        <v>86</v>
      </c>
      <c r="D110" s="230" t="s">
        <v>87</v>
      </c>
    </row>
    <row r="111" spans="1:4" ht="15">
      <c r="A111" s="10" t="s">
        <v>3</v>
      </c>
      <c r="B111" s="38" t="s">
        <v>71</v>
      </c>
      <c r="C111" s="269">
        <v>0.03</v>
      </c>
      <c r="D111" s="240">
        <f>TRUNC((D121+D122+D123+D124+D125)*C111,2)</f>
        <v>137.36000000000001</v>
      </c>
    </row>
    <row r="112" spans="1:4" ht="15">
      <c r="A112" s="10" t="s">
        <v>5</v>
      </c>
      <c r="B112" s="38" t="s">
        <v>72</v>
      </c>
      <c r="C112" s="269">
        <v>6.7900000000000002E-2</v>
      </c>
      <c r="D112" s="240">
        <f>TRUNC((D121+D122+D123+D124+D125+D111)*C112,2)</f>
        <v>320.23</v>
      </c>
    </row>
    <row r="113" spans="1:4" ht="15">
      <c r="A113" s="11" t="s">
        <v>8</v>
      </c>
      <c r="B113" s="43" t="s">
        <v>73</v>
      </c>
      <c r="C113" s="270">
        <f>TRUNC(SUM(C114:C116),4)</f>
        <v>0.14249999999999999</v>
      </c>
      <c r="D113" s="248"/>
    </row>
    <row r="114" spans="1:4" ht="15">
      <c r="A114" s="10"/>
      <c r="B114" s="38" t="s">
        <v>458</v>
      </c>
      <c r="C114" s="269">
        <f>MC!$C$95</f>
        <v>1.6500000000000001E-2</v>
      </c>
      <c r="D114" s="240">
        <f>TRUNC(((D$126+D$111+D$112)/(1-(C$113)))*C114,2)</f>
        <v>96.91</v>
      </c>
    </row>
    <row r="115" spans="1:4" ht="15">
      <c r="A115" s="10"/>
      <c r="B115" s="38" t="s">
        <v>459</v>
      </c>
      <c r="C115" s="269">
        <f>MC!$C$94</f>
        <v>7.5999999999999998E-2</v>
      </c>
      <c r="D115" s="240">
        <f>TRUNC(((D$126+D$111+D$112)/(1-(C$113)))*C115,2)</f>
        <v>446.38</v>
      </c>
    </row>
    <row r="116" spans="1:4" ht="15">
      <c r="A116" s="38"/>
      <c r="B116" s="38" t="s">
        <v>460</v>
      </c>
      <c r="C116" s="269">
        <f>MC!$C$93</f>
        <v>0.05</v>
      </c>
      <c r="D116" s="240">
        <f>TRUNC(((D$126+D$111+D$112)/(1-(C$113)))*C116,2)</f>
        <v>293.67</v>
      </c>
    </row>
    <row r="117" spans="1:4" ht="15">
      <c r="A117" s="594" t="s">
        <v>75</v>
      </c>
      <c r="B117" s="594"/>
      <c r="C117" s="594"/>
      <c r="D117" s="288">
        <f>TRUNC((D111+D112+D114+D115+D116),2)</f>
        <v>1294.55</v>
      </c>
    </row>
    <row r="118" spans="1:4" ht="15">
      <c r="A118" s="33"/>
      <c r="B118" s="33"/>
      <c r="C118" s="255"/>
      <c r="D118" s="3"/>
    </row>
    <row r="119" spans="1:4" ht="15">
      <c r="A119" s="595" t="s">
        <v>76</v>
      </c>
      <c r="B119" s="595"/>
      <c r="C119" s="595"/>
      <c r="D119" s="595"/>
    </row>
    <row r="120" spans="1:4" ht="15">
      <c r="A120" s="596" t="s">
        <v>77</v>
      </c>
      <c r="B120" s="597"/>
      <c r="C120" s="598"/>
      <c r="D120" s="230" t="s">
        <v>87</v>
      </c>
    </row>
    <row r="121" spans="1:4" ht="15">
      <c r="A121" s="281" t="s">
        <v>3</v>
      </c>
      <c r="B121" s="599" t="s">
        <v>78</v>
      </c>
      <c r="C121" s="599"/>
      <c r="D121" s="282">
        <f>TRUNC(D28,2)</f>
        <v>1743.69</v>
      </c>
    </row>
    <row r="122" spans="1:4" ht="15">
      <c r="A122" s="278" t="s">
        <v>5</v>
      </c>
      <c r="B122" s="600" t="s">
        <v>79</v>
      </c>
      <c r="C122" s="600"/>
      <c r="D122" s="283">
        <f>TRUNC(D66,2)</f>
        <v>2384.4299999999998</v>
      </c>
    </row>
    <row r="123" spans="1:4" ht="15">
      <c r="A123" s="275" t="s">
        <v>8</v>
      </c>
      <c r="B123" s="601" t="s">
        <v>49</v>
      </c>
      <c r="C123" s="601"/>
      <c r="D123" s="284">
        <f>TRUNC(D76,2)</f>
        <v>130.94</v>
      </c>
    </row>
    <row r="124" spans="1:4" ht="15">
      <c r="A124" s="271" t="s">
        <v>10</v>
      </c>
      <c r="B124" s="602" t="s">
        <v>55</v>
      </c>
      <c r="C124" s="602"/>
      <c r="D124" s="285">
        <f>TRUNC(D99,2)</f>
        <v>259.83</v>
      </c>
    </row>
    <row r="125" spans="1:4" ht="15">
      <c r="A125" s="290" t="s">
        <v>12</v>
      </c>
      <c r="B125" s="592" t="s">
        <v>80</v>
      </c>
      <c r="C125" s="592"/>
      <c r="D125" s="291">
        <f>TRUNC(D107,2)</f>
        <v>60.05</v>
      </c>
    </row>
    <row r="126" spans="1:4" ht="15">
      <c r="A126" s="581" t="s">
        <v>81</v>
      </c>
      <c r="B126" s="581"/>
      <c r="C126" s="581"/>
      <c r="D126" s="236">
        <f>TRUNC(SUM(D121:D125),2)</f>
        <v>4578.9399999999996</v>
      </c>
    </row>
    <row r="127" spans="1:4" ht="15">
      <c r="A127" s="286" t="s">
        <v>21</v>
      </c>
      <c r="B127" s="593" t="s">
        <v>82</v>
      </c>
      <c r="C127" s="593"/>
      <c r="D127" s="287">
        <f>TRUNC(D117,2)</f>
        <v>1294.55</v>
      </c>
    </row>
    <row r="128" spans="1:4" ht="18.75">
      <c r="A128" s="549" t="s">
        <v>83</v>
      </c>
      <c r="B128" s="549"/>
      <c r="C128" s="549"/>
      <c r="D128" s="292">
        <f>TRUNC(D126+D127,2)</f>
        <v>5873.49</v>
      </c>
    </row>
    <row r="130" spans="1:4" ht="15">
      <c r="A130" s="183"/>
      <c r="D130" s="327" t="s">
        <v>487</v>
      </c>
    </row>
    <row r="131" spans="1:4" ht="15">
      <c r="A131" s="549" t="s">
        <v>488</v>
      </c>
      <c r="B131" s="549"/>
      <c r="C131" s="549"/>
      <c r="D131" s="329">
        <f>D128/30</f>
        <v>195.78299999999999</v>
      </c>
    </row>
  </sheetData>
  <sheetProtection selectLockedCells="1" selectUnlockedCells="1"/>
  <mergeCells count="62">
    <mergeCell ref="B125:C125"/>
    <mergeCell ref="A126:C126"/>
    <mergeCell ref="B127:C127"/>
    <mergeCell ref="A128:C128"/>
    <mergeCell ref="A117:C117"/>
    <mergeCell ref="A119:D119"/>
    <mergeCell ref="A120:C120"/>
    <mergeCell ref="B121:C121"/>
    <mergeCell ref="B122:C122"/>
    <mergeCell ref="B123:C123"/>
    <mergeCell ref="B124:C124"/>
    <mergeCell ref="B104:C104"/>
    <mergeCell ref="B105:C105"/>
    <mergeCell ref="B106:C106"/>
    <mergeCell ref="A107:C107"/>
    <mergeCell ref="A109:D109"/>
    <mergeCell ref="B98:C98"/>
    <mergeCell ref="A99:C99"/>
    <mergeCell ref="A101:D101"/>
    <mergeCell ref="B102:C102"/>
    <mergeCell ref="B103:C103"/>
    <mergeCell ref="A90:D90"/>
    <mergeCell ref="A93:B93"/>
    <mergeCell ref="A95:D95"/>
    <mergeCell ref="B96:C96"/>
    <mergeCell ref="B97:C97"/>
    <mergeCell ref="A76:B76"/>
    <mergeCell ref="A78:D78"/>
    <mergeCell ref="A79:D79"/>
    <mergeCell ref="A86:B86"/>
    <mergeCell ref="A88:B88"/>
    <mergeCell ref="B63:C63"/>
    <mergeCell ref="B64:C64"/>
    <mergeCell ref="B65:C65"/>
    <mergeCell ref="A66:C66"/>
    <mergeCell ref="A68:D68"/>
    <mergeCell ref="A51:D51"/>
    <mergeCell ref="B52:C52"/>
    <mergeCell ref="A59:C59"/>
    <mergeCell ref="A61:D61"/>
    <mergeCell ref="B62:C62"/>
    <mergeCell ref="A31:D31"/>
    <mergeCell ref="A35:B35"/>
    <mergeCell ref="A37:B37"/>
    <mergeCell ref="A39:D39"/>
    <mergeCell ref="A49:B49"/>
    <mergeCell ref="A131:C131"/>
    <mergeCell ref="B16:C16"/>
    <mergeCell ref="B17:C17"/>
    <mergeCell ref="B18:C18"/>
    <mergeCell ref="A1:D1"/>
    <mergeCell ref="A3:B3"/>
    <mergeCell ref="C3:D3"/>
    <mergeCell ref="A4:B4"/>
    <mergeCell ref="C4:D4"/>
    <mergeCell ref="A6:D6"/>
    <mergeCell ref="C9:D9"/>
    <mergeCell ref="A15:D15"/>
    <mergeCell ref="A21:D21"/>
    <mergeCell ref="B19:C19"/>
    <mergeCell ref="A28:C28"/>
    <mergeCell ref="A30:D30"/>
  </mergeCells>
  <conditionalFormatting sqref="D53">
    <cfRule type="cellIs" dxfId="8" priority="1" operator="lessThan">
      <formula>0</formula>
    </cfRule>
  </conditionalFormatting>
  <pageMargins left="0.19685039370078741" right="0.19685039370078741" top="0.98425196850393704" bottom="0.78740157480314965" header="0.31496062992125984" footer="0.31496062992125984"/>
  <pageSetup paperSize="9" scale="92" firstPageNumber="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N132"/>
  <sheetViews>
    <sheetView topLeftCell="A12" zoomScaleNormal="100" zoomScaleSheetLayoutView="100" workbookViewId="0">
      <pane ySplit="2175" topLeftCell="A106" activePane="bottomLeft"/>
      <selection activeCell="A4" sqref="A4:B4"/>
      <selection pane="bottomLeft" activeCell="C113" sqref="C113"/>
    </sheetView>
  </sheetViews>
  <sheetFormatPr defaultRowHeight="12"/>
  <cols>
    <col min="1" max="1" width="6.28515625" style="1" customWidth="1"/>
    <col min="2" max="2" width="47.5703125" style="1" customWidth="1"/>
    <col min="3" max="3" width="15.7109375" style="249" customWidth="1"/>
    <col min="4" max="14" width="17.7109375" style="249" customWidth="1"/>
    <col min="15" max="16384" width="9.140625" style="1"/>
  </cols>
  <sheetData>
    <row r="1" spans="1:14" ht="26.25" customHeight="1">
      <c r="A1" s="552" t="s">
        <v>1</v>
      </c>
      <c r="B1" s="552"/>
      <c r="C1" s="552"/>
      <c r="D1" s="552"/>
      <c r="E1" s="552"/>
      <c r="F1" s="552"/>
      <c r="G1" s="552"/>
      <c r="H1" s="552"/>
      <c r="I1" s="552"/>
      <c r="J1" s="552"/>
      <c r="K1" s="552"/>
      <c r="L1" s="552"/>
      <c r="M1" s="552"/>
      <c r="N1" s="552"/>
    </row>
    <row r="2" spans="1:14" ht="6.75" customHeight="1">
      <c r="A2" s="4"/>
      <c r="B2" s="4"/>
      <c r="C2" s="4"/>
      <c r="D2" s="5"/>
      <c r="E2" s="5"/>
      <c r="F2" s="5"/>
      <c r="G2" s="5"/>
      <c r="H2" s="5"/>
      <c r="I2" s="5"/>
      <c r="J2" s="5"/>
      <c r="K2" s="5"/>
      <c r="L2" s="5"/>
      <c r="M2" s="5"/>
      <c r="N2" s="5"/>
    </row>
    <row r="3" spans="1:14" ht="15">
      <c r="A3" s="553" t="s">
        <v>388</v>
      </c>
      <c r="B3" s="554"/>
      <c r="C3" s="555" t="s">
        <v>371</v>
      </c>
      <c r="D3" s="556"/>
      <c r="E3" s="302"/>
      <c r="F3" s="302"/>
      <c r="G3" s="302"/>
      <c r="H3" s="302"/>
      <c r="I3" s="302"/>
      <c r="J3" s="302"/>
      <c r="K3" s="302"/>
      <c r="L3" s="302"/>
      <c r="M3" s="302"/>
      <c r="N3" s="302"/>
    </row>
    <row r="4" spans="1:14" ht="15">
      <c r="A4" s="553" t="s">
        <v>389</v>
      </c>
      <c r="B4" s="554"/>
      <c r="C4" s="555"/>
      <c r="D4" s="556"/>
      <c r="E4" s="302"/>
      <c r="F4" s="302"/>
      <c r="G4" s="302"/>
      <c r="H4" s="302"/>
      <c r="I4" s="302"/>
      <c r="J4" s="302"/>
      <c r="K4" s="302"/>
      <c r="L4" s="302"/>
      <c r="M4" s="302"/>
      <c r="N4" s="302"/>
    </row>
    <row r="5" spans="1:14" ht="12" customHeight="1">
      <c r="A5" s="6"/>
      <c r="B5" s="6"/>
      <c r="C5" s="2"/>
      <c r="D5" s="3"/>
      <c r="E5" s="3"/>
      <c r="F5" s="3"/>
      <c r="G5" s="3"/>
      <c r="H5" s="3"/>
      <c r="I5" s="3"/>
      <c r="J5" s="3"/>
      <c r="K5" s="3"/>
      <c r="L5" s="3"/>
      <c r="M5" s="3"/>
      <c r="N5" s="3"/>
    </row>
    <row r="6" spans="1:14" ht="18.75">
      <c r="A6" s="605" t="s">
        <v>2</v>
      </c>
      <c r="B6" s="605"/>
      <c r="C6" s="605"/>
      <c r="D6" s="605"/>
      <c r="E6" s="605"/>
      <c r="F6" s="605"/>
      <c r="G6" s="605"/>
      <c r="H6" s="605"/>
      <c r="I6" s="605"/>
      <c r="J6" s="605"/>
      <c r="K6" s="605"/>
      <c r="L6" s="605"/>
      <c r="M6" s="605"/>
      <c r="N6" s="605"/>
    </row>
    <row r="7" spans="1:14" ht="15">
      <c r="A7" s="40" t="s">
        <v>3</v>
      </c>
      <c r="B7" s="220" t="s">
        <v>4</v>
      </c>
      <c r="C7" s="310"/>
      <c r="D7" s="311"/>
      <c r="E7" s="311"/>
      <c r="F7" s="311"/>
      <c r="G7" s="311"/>
      <c r="H7" s="311"/>
      <c r="I7" s="311"/>
      <c r="J7" s="311"/>
      <c r="K7" s="311"/>
      <c r="L7" s="311"/>
      <c r="M7" s="311"/>
      <c r="N7" s="311"/>
    </row>
    <row r="8" spans="1:14" ht="13.5" customHeight="1">
      <c r="A8" s="40" t="s">
        <v>5</v>
      </c>
      <c r="B8" s="220" t="s">
        <v>6</v>
      </c>
      <c r="C8" s="310"/>
      <c r="D8" s="312" t="s">
        <v>7</v>
      </c>
      <c r="E8" s="312" t="s">
        <v>7</v>
      </c>
      <c r="F8" s="312" t="s">
        <v>7</v>
      </c>
      <c r="G8" s="312" t="s">
        <v>7</v>
      </c>
      <c r="H8" s="312" t="s">
        <v>7</v>
      </c>
      <c r="I8" s="312" t="s">
        <v>7</v>
      </c>
      <c r="J8" s="312" t="s">
        <v>7</v>
      </c>
      <c r="K8" s="312" t="s">
        <v>7</v>
      </c>
      <c r="L8" s="312" t="s">
        <v>7</v>
      </c>
      <c r="M8" s="312" t="s">
        <v>7</v>
      </c>
      <c r="N8" s="312" t="s">
        <v>7</v>
      </c>
    </row>
    <row r="9" spans="1:14" ht="38.25">
      <c r="A9" s="40" t="s">
        <v>8</v>
      </c>
      <c r="B9" s="220" t="s">
        <v>9</v>
      </c>
      <c r="C9" s="303"/>
      <c r="D9" s="473" t="s">
        <v>730</v>
      </c>
      <c r="E9" s="473" t="s">
        <v>730</v>
      </c>
      <c r="F9" s="473" t="s">
        <v>730</v>
      </c>
      <c r="G9" s="473" t="s">
        <v>730</v>
      </c>
      <c r="H9" s="473" t="s">
        <v>730</v>
      </c>
      <c r="I9" s="473" t="s">
        <v>730</v>
      </c>
      <c r="J9" s="473" t="s">
        <v>730</v>
      </c>
      <c r="K9" s="473" t="s">
        <v>730</v>
      </c>
      <c r="L9" s="473" t="s">
        <v>730</v>
      </c>
      <c r="M9" s="473" t="s">
        <v>730</v>
      </c>
      <c r="N9" s="473" t="s">
        <v>730</v>
      </c>
    </row>
    <row r="10" spans="1:14" ht="15">
      <c r="A10" s="40" t="s">
        <v>10</v>
      </c>
      <c r="B10" s="220" t="s">
        <v>11</v>
      </c>
      <c r="C10" s="310"/>
      <c r="D10" s="253"/>
      <c r="E10" s="253"/>
      <c r="F10" s="253"/>
      <c r="G10" s="253"/>
      <c r="H10" s="253"/>
      <c r="I10" s="253"/>
      <c r="J10" s="253"/>
      <c r="K10" s="253"/>
      <c r="L10" s="253"/>
      <c r="M10" s="253"/>
      <c r="N10" s="253"/>
    </row>
    <row r="11" spans="1:14" ht="15">
      <c r="A11" s="40" t="s">
        <v>12</v>
      </c>
      <c r="B11" s="220" t="s">
        <v>147</v>
      </c>
      <c r="C11" s="253"/>
      <c r="D11" s="253"/>
      <c r="E11" s="253"/>
      <c r="F11" s="253"/>
      <c r="G11" s="253"/>
      <c r="H11" s="253"/>
      <c r="I11" s="253"/>
      <c r="J11" s="253"/>
      <c r="K11" s="253"/>
      <c r="L11" s="253"/>
      <c r="M11" s="253"/>
      <c r="N11" s="253"/>
    </row>
    <row r="12" spans="1:14" ht="15">
      <c r="A12" s="40" t="s">
        <v>21</v>
      </c>
      <c r="B12" s="220" t="s">
        <v>13</v>
      </c>
      <c r="C12" s="310"/>
      <c r="D12" s="313">
        <f>MC!$D$60</f>
        <v>20.98</v>
      </c>
      <c r="E12" s="313">
        <f>MC!$D$60</f>
        <v>20.98</v>
      </c>
      <c r="F12" s="313">
        <f>MC!$D$60</f>
        <v>20.98</v>
      </c>
      <c r="G12" s="313">
        <f>MC!$D$60</f>
        <v>20.98</v>
      </c>
      <c r="H12" s="313">
        <f>MC!$D$60</f>
        <v>20.98</v>
      </c>
      <c r="I12" s="313">
        <f>MC!$D$62</f>
        <v>15</v>
      </c>
      <c r="J12" s="313">
        <f>MC!$D$62</f>
        <v>15</v>
      </c>
      <c r="K12" s="313">
        <f>MC!$D$62</f>
        <v>15</v>
      </c>
      <c r="L12" s="313">
        <f>MC!$D$60</f>
        <v>20.98</v>
      </c>
      <c r="M12" s="313">
        <f>MC!$D$60</f>
        <v>20.98</v>
      </c>
      <c r="N12" s="313">
        <f>MC!$D$60</f>
        <v>20.98</v>
      </c>
    </row>
    <row r="13" spans="1:14" ht="9.75" customHeight="1">
      <c r="A13" s="33"/>
      <c r="B13" s="33"/>
      <c r="C13" s="255"/>
      <c r="D13" s="3"/>
      <c r="E13" s="3"/>
      <c r="F13" s="3"/>
      <c r="G13" s="3"/>
      <c r="H13" s="3"/>
      <c r="I13" s="3"/>
      <c r="J13" s="3"/>
      <c r="K13" s="3"/>
      <c r="L13" s="3"/>
      <c r="M13" s="3"/>
      <c r="N13" s="3"/>
    </row>
    <row r="14" spans="1:14" ht="18.75">
      <c r="A14" s="605" t="s">
        <v>14</v>
      </c>
      <c r="B14" s="605"/>
      <c r="C14" s="605"/>
      <c r="D14" s="605"/>
      <c r="E14" s="605"/>
      <c r="F14" s="605"/>
      <c r="G14" s="605"/>
      <c r="H14" s="605"/>
      <c r="I14" s="605"/>
      <c r="J14" s="605"/>
      <c r="K14" s="605"/>
      <c r="L14" s="605"/>
      <c r="M14" s="605"/>
      <c r="N14" s="605"/>
    </row>
    <row r="15" spans="1:14" ht="30">
      <c r="A15" s="40">
        <v>1</v>
      </c>
      <c r="B15" s="550" t="s">
        <v>15</v>
      </c>
      <c r="C15" s="550"/>
      <c r="D15" s="301" t="s">
        <v>471</v>
      </c>
      <c r="E15" s="301" t="s">
        <v>563</v>
      </c>
      <c r="F15" s="301" t="s">
        <v>472</v>
      </c>
      <c r="G15" s="301" t="s">
        <v>561</v>
      </c>
      <c r="H15" s="301" t="s">
        <v>223</v>
      </c>
      <c r="I15" s="301" t="s">
        <v>224</v>
      </c>
      <c r="J15" s="301" t="s">
        <v>225</v>
      </c>
      <c r="K15" s="301" t="s">
        <v>226</v>
      </c>
      <c r="L15" s="301" t="s">
        <v>227</v>
      </c>
      <c r="M15" s="301" t="s">
        <v>228</v>
      </c>
      <c r="N15" s="301" t="s">
        <v>307</v>
      </c>
    </row>
    <row r="16" spans="1:14" ht="15">
      <c r="A16" s="40">
        <v>2</v>
      </c>
      <c r="B16" s="550" t="s">
        <v>16</v>
      </c>
      <c r="C16" s="550"/>
      <c r="D16" s="315"/>
      <c r="E16" s="315"/>
      <c r="F16" s="315"/>
      <c r="G16" s="315"/>
      <c r="H16" s="315"/>
      <c r="I16" s="315"/>
      <c r="J16" s="315"/>
      <c r="K16" s="315"/>
      <c r="L16" s="315"/>
      <c r="M16" s="315"/>
      <c r="N16" s="315"/>
    </row>
    <row r="17" spans="1:14" ht="15">
      <c r="A17" s="40">
        <v>3</v>
      </c>
      <c r="B17" s="551" t="s">
        <v>17</v>
      </c>
      <c r="C17" s="551"/>
      <c r="D17" s="316">
        <f>TRUNC(MC!J4,2)</f>
        <v>5398.14</v>
      </c>
      <c r="E17" s="316">
        <v>4220.33</v>
      </c>
      <c r="F17" s="316">
        <v>4220.33</v>
      </c>
      <c r="G17" s="316">
        <v>2574.38</v>
      </c>
      <c r="H17" s="316">
        <v>2574.38</v>
      </c>
      <c r="I17" s="316">
        <v>1900.2</v>
      </c>
      <c r="J17" s="316">
        <v>1900.2</v>
      </c>
      <c r="K17" s="316">
        <v>1775.88</v>
      </c>
      <c r="L17" s="316">
        <v>1743.69</v>
      </c>
      <c r="M17" s="316">
        <v>2574.37</v>
      </c>
      <c r="N17" s="316">
        <v>2574.37</v>
      </c>
    </row>
    <row r="18" spans="1:14" ht="15">
      <c r="A18" s="40">
        <v>4</v>
      </c>
      <c r="B18" s="550" t="s">
        <v>18</v>
      </c>
      <c r="C18" s="550"/>
      <c r="D18" s="317">
        <v>45658</v>
      </c>
      <c r="E18" s="317">
        <v>45658</v>
      </c>
      <c r="F18" s="317">
        <v>45658</v>
      </c>
      <c r="G18" s="317">
        <v>45658</v>
      </c>
      <c r="H18" s="317">
        <v>45658</v>
      </c>
      <c r="I18" s="317">
        <v>45658</v>
      </c>
      <c r="J18" s="317">
        <v>45658</v>
      </c>
      <c r="K18" s="317">
        <v>45658</v>
      </c>
      <c r="L18" s="317">
        <v>45658</v>
      </c>
      <c r="M18" s="317">
        <v>45658</v>
      </c>
      <c r="N18" s="317">
        <v>45658</v>
      </c>
    </row>
    <row r="19" spans="1:14" ht="15">
      <c r="A19" s="14"/>
      <c r="B19" s="14"/>
      <c r="C19" s="229"/>
      <c r="D19" s="229"/>
      <c r="E19" s="229"/>
      <c r="F19" s="229"/>
      <c r="G19" s="229"/>
      <c r="H19" s="229"/>
      <c r="I19" s="229"/>
      <c r="J19" s="229"/>
      <c r="K19" s="229"/>
      <c r="L19" s="229"/>
      <c r="M19" s="229"/>
      <c r="N19" s="229"/>
    </row>
    <row r="20" spans="1:14" ht="18.75">
      <c r="A20" s="606" t="s">
        <v>93</v>
      </c>
      <c r="B20" s="606"/>
      <c r="C20" s="606"/>
      <c r="D20" s="606"/>
      <c r="E20" s="606"/>
      <c r="F20" s="606"/>
      <c r="G20" s="606"/>
      <c r="H20" s="606"/>
      <c r="I20" s="606"/>
      <c r="J20" s="606"/>
      <c r="K20" s="606"/>
      <c r="L20" s="606"/>
      <c r="M20" s="606"/>
      <c r="N20" s="606"/>
    </row>
    <row r="21" spans="1:14" ht="15">
      <c r="A21" s="11">
        <v>1</v>
      </c>
      <c r="B21" s="11" t="s">
        <v>19</v>
      </c>
      <c r="C21" s="256" t="s">
        <v>86</v>
      </c>
      <c r="D21" s="230" t="s">
        <v>87</v>
      </c>
      <c r="E21" s="230" t="s">
        <v>87</v>
      </c>
      <c r="F21" s="230" t="s">
        <v>87</v>
      </c>
      <c r="G21" s="230" t="s">
        <v>87</v>
      </c>
      <c r="H21" s="230" t="s">
        <v>87</v>
      </c>
      <c r="I21" s="230" t="s">
        <v>87</v>
      </c>
      <c r="J21" s="230" t="s">
        <v>87</v>
      </c>
      <c r="K21" s="230" t="s">
        <v>87</v>
      </c>
      <c r="L21" s="230" t="s">
        <v>87</v>
      </c>
      <c r="M21" s="230" t="s">
        <v>87</v>
      </c>
      <c r="N21" s="230" t="s">
        <v>87</v>
      </c>
    </row>
    <row r="22" spans="1:14" ht="15">
      <c r="A22" s="10" t="s">
        <v>3</v>
      </c>
      <c r="B22" s="20" t="s">
        <v>20</v>
      </c>
      <c r="C22" s="257">
        <v>1</v>
      </c>
      <c r="D22" s="185">
        <f>D17</f>
        <v>5398.14</v>
      </c>
      <c r="E22" s="185">
        <f t="shared" ref="E22:N22" si="0">E17</f>
        <v>4220.33</v>
      </c>
      <c r="F22" s="185">
        <f t="shared" si="0"/>
        <v>4220.33</v>
      </c>
      <c r="G22" s="185">
        <f t="shared" si="0"/>
        <v>2574.38</v>
      </c>
      <c r="H22" s="185">
        <f t="shared" si="0"/>
        <v>2574.38</v>
      </c>
      <c r="I22" s="185">
        <f t="shared" si="0"/>
        <v>1900.2</v>
      </c>
      <c r="J22" s="185">
        <f t="shared" si="0"/>
        <v>1900.2</v>
      </c>
      <c r="K22" s="185">
        <f t="shared" si="0"/>
        <v>1775.88</v>
      </c>
      <c r="L22" s="185">
        <f t="shared" si="0"/>
        <v>1743.69</v>
      </c>
      <c r="M22" s="185">
        <f t="shared" si="0"/>
        <v>2574.37</v>
      </c>
      <c r="N22" s="185">
        <f t="shared" si="0"/>
        <v>2574.37</v>
      </c>
    </row>
    <row r="23" spans="1:14" ht="15">
      <c r="A23" s="12" t="s">
        <v>5</v>
      </c>
      <c r="B23" s="13" t="s">
        <v>152</v>
      </c>
      <c r="C23" s="257">
        <v>0</v>
      </c>
      <c r="D23" s="184"/>
      <c r="E23" s="184"/>
      <c r="F23" s="184"/>
      <c r="G23" s="184"/>
      <c r="H23" s="184"/>
      <c r="I23" s="184"/>
      <c r="J23" s="184"/>
      <c r="K23" s="184"/>
      <c r="L23" s="184"/>
      <c r="M23" s="184"/>
      <c r="N23" s="184"/>
    </row>
    <row r="24" spans="1:14" ht="15">
      <c r="A24" s="12" t="s">
        <v>8</v>
      </c>
      <c r="B24" s="13" t="s">
        <v>153</v>
      </c>
      <c r="C24" s="257">
        <v>0</v>
      </c>
      <c r="D24" s="184"/>
      <c r="E24" s="184"/>
      <c r="F24" s="184"/>
      <c r="G24" s="184"/>
      <c r="H24" s="184"/>
      <c r="I24" s="184"/>
      <c r="J24" s="184"/>
      <c r="K24" s="184"/>
      <c r="L24" s="184"/>
      <c r="M24" s="184"/>
      <c r="N24" s="184"/>
    </row>
    <row r="25" spans="1:14" ht="15">
      <c r="A25" s="10" t="s">
        <v>10</v>
      </c>
      <c r="B25" s="20" t="s">
        <v>154</v>
      </c>
      <c r="C25" s="257">
        <v>0.22500000000000001</v>
      </c>
      <c r="D25" s="185"/>
      <c r="E25" s="185"/>
      <c r="F25" s="185"/>
      <c r="G25" s="185"/>
      <c r="H25" s="185"/>
      <c r="I25" s="185"/>
      <c r="J25" s="456">
        <f>TRUNC((((J22+J23+J24)/220)*C25)*(15*7),2)</f>
        <v>204.05</v>
      </c>
      <c r="K25" s="185"/>
      <c r="L25" s="185"/>
      <c r="M25" s="185"/>
      <c r="N25" s="185"/>
    </row>
    <row r="26" spans="1:14" ht="15">
      <c r="A26" s="10" t="s">
        <v>12</v>
      </c>
      <c r="B26" s="20" t="s">
        <v>229</v>
      </c>
      <c r="C26" s="257">
        <v>0</v>
      </c>
      <c r="D26" s="185"/>
      <c r="E26" s="185"/>
      <c r="F26" s="185"/>
      <c r="G26" s="185"/>
      <c r="H26" s="185"/>
      <c r="I26" s="185"/>
      <c r="J26" s="185"/>
      <c r="K26" s="185"/>
      <c r="L26" s="185"/>
      <c r="M26" s="185"/>
      <c r="N26" s="185"/>
    </row>
    <row r="27" spans="1:14" ht="15">
      <c r="A27" s="564" t="s">
        <v>84</v>
      </c>
      <c r="B27" s="565"/>
      <c r="C27" s="566"/>
      <c r="D27" s="280">
        <f t="shared" ref="D27:N27" si="1">TRUNC(SUM(D22:D26),2)</f>
        <v>5398.14</v>
      </c>
      <c r="E27" s="280">
        <f t="shared" si="1"/>
        <v>4220.33</v>
      </c>
      <c r="F27" s="280">
        <f t="shared" si="1"/>
        <v>4220.33</v>
      </c>
      <c r="G27" s="280">
        <f t="shared" si="1"/>
        <v>2574.38</v>
      </c>
      <c r="H27" s="280">
        <f t="shared" si="1"/>
        <v>2574.38</v>
      </c>
      <c r="I27" s="280">
        <f t="shared" si="1"/>
        <v>1900.2</v>
      </c>
      <c r="J27" s="280">
        <f>TRUNC(SUM(J22:J26),2)</f>
        <v>2104.25</v>
      </c>
      <c r="K27" s="280">
        <f t="shared" si="1"/>
        <v>1775.88</v>
      </c>
      <c r="L27" s="280">
        <f t="shared" si="1"/>
        <v>1743.69</v>
      </c>
      <c r="M27" s="280">
        <f t="shared" si="1"/>
        <v>2574.37</v>
      </c>
      <c r="N27" s="280">
        <f t="shared" si="1"/>
        <v>2574.37</v>
      </c>
    </row>
    <row r="28" spans="1:14" ht="15">
      <c r="A28" s="8"/>
      <c r="B28" s="8"/>
      <c r="C28" s="2"/>
      <c r="D28" s="232"/>
      <c r="E28" s="232"/>
      <c r="F28" s="232"/>
      <c r="G28" s="232"/>
      <c r="H28" s="232"/>
      <c r="I28" s="232"/>
      <c r="J28" s="232"/>
      <c r="K28" s="232"/>
      <c r="L28" s="232"/>
      <c r="M28" s="232"/>
      <c r="N28" s="232"/>
    </row>
    <row r="29" spans="1:14" ht="18.75">
      <c r="A29" s="607" t="s">
        <v>94</v>
      </c>
      <c r="B29" s="607"/>
      <c r="C29" s="607"/>
      <c r="D29" s="607"/>
      <c r="E29" s="607"/>
      <c r="F29" s="607"/>
      <c r="G29" s="607"/>
      <c r="H29" s="607"/>
      <c r="I29" s="607"/>
      <c r="J29" s="607"/>
      <c r="K29" s="607"/>
      <c r="L29" s="607"/>
      <c r="M29" s="607"/>
      <c r="N29" s="607"/>
    </row>
    <row r="30" spans="1:14" ht="18.75">
      <c r="A30" s="608" t="s">
        <v>23</v>
      </c>
      <c r="B30" s="608"/>
      <c r="C30" s="608"/>
      <c r="D30" s="608"/>
      <c r="E30" s="608"/>
      <c r="F30" s="608"/>
      <c r="G30" s="608"/>
      <c r="H30" s="608"/>
      <c r="I30" s="608"/>
      <c r="J30" s="608"/>
      <c r="K30" s="608"/>
      <c r="L30" s="608"/>
      <c r="M30" s="608"/>
      <c r="N30" s="608"/>
    </row>
    <row r="31" spans="1:14" ht="15">
      <c r="A31" s="24" t="s">
        <v>24</v>
      </c>
      <c r="B31" s="24" t="s">
        <v>25</v>
      </c>
      <c r="C31" s="230" t="s">
        <v>86</v>
      </c>
      <c r="D31" s="256" t="s">
        <v>87</v>
      </c>
      <c r="E31" s="256" t="s">
        <v>87</v>
      </c>
      <c r="F31" s="256" t="s">
        <v>87</v>
      </c>
      <c r="G31" s="256" t="s">
        <v>87</v>
      </c>
      <c r="H31" s="256" t="s">
        <v>87</v>
      </c>
      <c r="I31" s="256" t="s">
        <v>87</v>
      </c>
      <c r="J31" s="256" t="s">
        <v>87</v>
      </c>
      <c r="K31" s="256" t="s">
        <v>87</v>
      </c>
      <c r="L31" s="256" t="s">
        <v>87</v>
      </c>
      <c r="M31" s="256" t="s">
        <v>87</v>
      </c>
      <c r="N31" s="256" t="s">
        <v>87</v>
      </c>
    </row>
    <row r="32" spans="1:14" ht="15">
      <c r="A32" s="40" t="s">
        <v>3</v>
      </c>
      <c r="B32" s="38" t="s">
        <v>26</v>
      </c>
      <c r="C32" s="266">
        <v>8.3299999999999999E-2</v>
      </c>
      <c r="D32" s="240">
        <f>TRUNC($D27*$C32,2)</f>
        <v>449.66</v>
      </c>
      <c r="E32" s="240">
        <f t="shared" ref="E32:N33" si="2">TRUNC(E$27*$C32,2)</f>
        <v>351.55</v>
      </c>
      <c r="F32" s="240">
        <f t="shared" si="2"/>
        <v>351.55</v>
      </c>
      <c r="G32" s="240">
        <f t="shared" si="2"/>
        <v>214.44</v>
      </c>
      <c r="H32" s="240">
        <f t="shared" si="2"/>
        <v>214.44</v>
      </c>
      <c r="I32" s="240">
        <f t="shared" si="2"/>
        <v>158.28</v>
      </c>
      <c r="J32" s="240">
        <f t="shared" si="2"/>
        <v>175.28</v>
      </c>
      <c r="K32" s="240">
        <f t="shared" si="2"/>
        <v>147.93</v>
      </c>
      <c r="L32" s="240">
        <f t="shared" si="2"/>
        <v>145.24</v>
      </c>
      <c r="M32" s="240">
        <f t="shared" si="2"/>
        <v>214.44</v>
      </c>
      <c r="N32" s="240">
        <f t="shared" si="2"/>
        <v>214.44</v>
      </c>
    </row>
    <row r="33" spans="1:14" ht="15">
      <c r="A33" s="40" t="s">
        <v>5</v>
      </c>
      <c r="B33" s="38" t="s">
        <v>27</v>
      </c>
      <c r="C33" s="266">
        <v>2.7799999999999998E-2</v>
      </c>
      <c r="D33" s="240">
        <f>TRUNC(D$27*C33,2)</f>
        <v>150.06</v>
      </c>
      <c r="E33" s="240">
        <f t="shared" si="2"/>
        <v>117.32</v>
      </c>
      <c r="F33" s="240">
        <f t="shared" si="2"/>
        <v>117.32</v>
      </c>
      <c r="G33" s="240">
        <f t="shared" si="2"/>
        <v>71.56</v>
      </c>
      <c r="H33" s="240">
        <f t="shared" si="2"/>
        <v>71.56</v>
      </c>
      <c r="I33" s="240">
        <f t="shared" si="2"/>
        <v>52.82</v>
      </c>
      <c r="J33" s="240">
        <f t="shared" si="2"/>
        <v>58.49</v>
      </c>
      <c r="K33" s="240">
        <f t="shared" si="2"/>
        <v>49.36</v>
      </c>
      <c r="L33" s="240">
        <f t="shared" si="2"/>
        <v>48.47</v>
      </c>
      <c r="M33" s="240">
        <f t="shared" si="2"/>
        <v>71.56</v>
      </c>
      <c r="N33" s="240">
        <f t="shared" si="2"/>
        <v>71.56</v>
      </c>
    </row>
    <row r="34" spans="1:14" ht="15">
      <c r="A34" s="569" t="s">
        <v>85</v>
      </c>
      <c r="B34" s="569"/>
      <c r="C34" s="260">
        <f>TRUNC(SUM(C32:C33),5)</f>
        <v>0.1111</v>
      </c>
      <c r="D34" s="236">
        <f t="shared" ref="D34:N34" si="3">TRUNC(SUM(D32:D33),2)</f>
        <v>599.72</v>
      </c>
      <c r="E34" s="236">
        <f t="shared" si="3"/>
        <v>468.87</v>
      </c>
      <c r="F34" s="236">
        <f t="shared" si="3"/>
        <v>468.87</v>
      </c>
      <c r="G34" s="236">
        <f t="shared" si="3"/>
        <v>286</v>
      </c>
      <c r="H34" s="236">
        <f t="shared" si="3"/>
        <v>286</v>
      </c>
      <c r="I34" s="236">
        <f t="shared" si="3"/>
        <v>211.1</v>
      </c>
      <c r="J34" s="236">
        <f t="shared" si="3"/>
        <v>233.77</v>
      </c>
      <c r="K34" s="236">
        <f t="shared" si="3"/>
        <v>197.29</v>
      </c>
      <c r="L34" s="236">
        <f t="shared" si="3"/>
        <v>193.71</v>
      </c>
      <c r="M34" s="236">
        <f t="shared" si="3"/>
        <v>286</v>
      </c>
      <c r="N34" s="236">
        <f t="shared" si="3"/>
        <v>286</v>
      </c>
    </row>
    <row r="35" spans="1:14" ht="30">
      <c r="A35" s="40" t="s">
        <v>8</v>
      </c>
      <c r="B35" s="38" t="s">
        <v>218</v>
      </c>
      <c r="C35" s="266">
        <f>C34*C48</f>
        <v>4.4217800000000002E-2</v>
      </c>
      <c r="D35" s="240">
        <f>TRUNC(D$27*C35,2)</f>
        <v>238.69</v>
      </c>
      <c r="E35" s="240">
        <f t="shared" ref="E35:N35" si="4">TRUNC(E$27*$C35,2)</f>
        <v>186.61</v>
      </c>
      <c r="F35" s="240">
        <f t="shared" si="4"/>
        <v>186.61</v>
      </c>
      <c r="G35" s="240">
        <f t="shared" si="4"/>
        <v>113.83</v>
      </c>
      <c r="H35" s="240">
        <f t="shared" si="4"/>
        <v>113.83</v>
      </c>
      <c r="I35" s="240">
        <f t="shared" si="4"/>
        <v>84.02</v>
      </c>
      <c r="J35" s="240">
        <f t="shared" si="4"/>
        <v>93.04</v>
      </c>
      <c r="K35" s="240">
        <f t="shared" si="4"/>
        <v>78.52</v>
      </c>
      <c r="L35" s="240">
        <f t="shared" si="4"/>
        <v>77.099999999999994</v>
      </c>
      <c r="M35" s="240">
        <f t="shared" si="4"/>
        <v>113.83</v>
      </c>
      <c r="N35" s="240">
        <f t="shared" si="4"/>
        <v>113.83</v>
      </c>
    </row>
    <row r="36" spans="1:14" ht="15">
      <c r="A36" s="569" t="s">
        <v>28</v>
      </c>
      <c r="B36" s="569"/>
      <c r="C36" s="260">
        <f>TRUNC(SUM(C34:C35),5)</f>
        <v>0.15531</v>
      </c>
      <c r="D36" s="236">
        <f t="shared" ref="D36:N36" si="5">TRUNC(SUM(D34:D35),2)</f>
        <v>838.41</v>
      </c>
      <c r="E36" s="236">
        <f t="shared" si="5"/>
        <v>655.48</v>
      </c>
      <c r="F36" s="236">
        <f t="shared" si="5"/>
        <v>655.48</v>
      </c>
      <c r="G36" s="236">
        <f t="shared" si="5"/>
        <v>399.83</v>
      </c>
      <c r="H36" s="236">
        <f t="shared" si="5"/>
        <v>399.83</v>
      </c>
      <c r="I36" s="236">
        <f t="shared" si="5"/>
        <v>295.12</v>
      </c>
      <c r="J36" s="236">
        <f t="shared" si="5"/>
        <v>326.81</v>
      </c>
      <c r="K36" s="236">
        <f t="shared" si="5"/>
        <v>275.81</v>
      </c>
      <c r="L36" s="236">
        <f t="shared" si="5"/>
        <v>270.81</v>
      </c>
      <c r="M36" s="236">
        <f t="shared" si="5"/>
        <v>399.83</v>
      </c>
      <c r="N36" s="236">
        <f t="shared" si="5"/>
        <v>399.83</v>
      </c>
    </row>
    <row r="37" spans="1:14" ht="7.5" customHeight="1">
      <c r="A37" s="14"/>
      <c r="B37" s="14"/>
      <c r="C37" s="229"/>
      <c r="D37" s="229"/>
      <c r="E37" s="229"/>
      <c r="F37" s="229"/>
      <c r="G37" s="229"/>
      <c r="H37" s="229"/>
      <c r="I37" s="229"/>
      <c r="J37" s="229"/>
      <c r="K37" s="229"/>
      <c r="L37" s="229"/>
      <c r="M37" s="229"/>
      <c r="N37" s="229"/>
    </row>
    <row r="38" spans="1:14" ht="18.75">
      <c r="A38" s="609" t="s">
        <v>29</v>
      </c>
      <c r="B38" s="609"/>
      <c r="C38" s="609"/>
      <c r="D38" s="609"/>
      <c r="E38" s="609"/>
      <c r="F38" s="609"/>
      <c r="G38" s="609"/>
      <c r="H38" s="609"/>
      <c r="I38" s="609"/>
      <c r="J38" s="609"/>
      <c r="K38" s="609"/>
      <c r="L38" s="609"/>
      <c r="M38" s="609"/>
      <c r="N38" s="609"/>
    </row>
    <row r="39" spans="1:14" ht="15">
      <c r="A39" s="16" t="s">
        <v>30</v>
      </c>
      <c r="B39" s="23" t="s">
        <v>31</v>
      </c>
      <c r="C39" s="237" t="s">
        <v>86</v>
      </c>
      <c r="D39" s="237" t="s">
        <v>87</v>
      </c>
      <c r="E39" s="237" t="s">
        <v>87</v>
      </c>
      <c r="F39" s="237" t="s">
        <v>87</v>
      </c>
      <c r="G39" s="237" t="s">
        <v>87</v>
      </c>
      <c r="H39" s="237" t="s">
        <v>87</v>
      </c>
      <c r="I39" s="237" t="s">
        <v>87</v>
      </c>
      <c r="J39" s="237" t="s">
        <v>87</v>
      </c>
      <c r="K39" s="237" t="s">
        <v>87</v>
      </c>
      <c r="L39" s="237" t="s">
        <v>87</v>
      </c>
      <c r="M39" s="237" t="s">
        <v>87</v>
      </c>
      <c r="N39" s="237" t="s">
        <v>87</v>
      </c>
    </row>
    <row r="40" spans="1:14" ht="15">
      <c r="A40" s="22" t="s">
        <v>3</v>
      </c>
      <c r="B40" s="19" t="s">
        <v>32</v>
      </c>
      <c r="C40" s="261">
        <f>MC!D17</f>
        <v>0.2</v>
      </c>
      <c r="D40" s="234">
        <f>TRUNC(D$27*C40,2)</f>
        <v>1079.6199999999999</v>
      </c>
      <c r="E40" s="234">
        <f t="shared" ref="E40:N40" si="6">TRUNC(E$27*$C40,2)</f>
        <v>844.06</v>
      </c>
      <c r="F40" s="234">
        <f t="shared" si="6"/>
        <v>844.06</v>
      </c>
      <c r="G40" s="234">
        <f t="shared" si="6"/>
        <v>514.87</v>
      </c>
      <c r="H40" s="234">
        <f t="shared" si="6"/>
        <v>514.87</v>
      </c>
      <c r="I40" s="234">
        <f t="shared" si="6"/>
        <v>380.04</v>
      </c>
      <c r="J40" s="234">
        <f t="shared" si="6"/>
        <v>420.85</v>
      </c>
      <c r="K40" s="234">
        <f t="shared" si="6"/>
        <v>355.17</v>
      </c>
      <c r="L40" s="234">
        <f t="shared" si="6"/>
        <v>348.73</v>
      </c>
      <c r="M40" s="234">
        <f t="shared" si="6"/>
        <v>514.87</v>
      </c>
      <c r="N40" s="234">
        <f t="shared" si="6"/>
        <v>514.87</v>
      </c>
    </row>
    <row r="41" spans="1:14" ht="15">
      <c r="A41" s="22" t="s">
        <v>5</v>
      </c>
      <c r="B41" s="19" t="s">
        <v>33</v>
      </c>
      <c r="C41" s="261">
        <f>MC!D18</f>
        <v>2.5000000000000001E-2</v>
      </c>
      <c r="D41" s="234">
        <f t="shared" ref="D41:D47" si="7">TRUNC(D$27*C41,2)</f>
        <v>134.94999999999999</v>
      </c>
      <c r="E41" s="234">
        <f t="shared" ref="E41:N47" si="8">TRUNC(E$27*$C41,2)</f>
        <v>105.5</v>
      </c>
      <c r="F41" s="234">
        <f t="shared" si="8"/>
        <v>105.5</v>
      </c>
      <c r="G41" s="234">
        <f t="shared" si="8"/>
        <v>64.349999999999994</v>
      </c>
      <c r="H41" s="234">
        <f t="shared" si="8"/>
        <v>64.349999999999994</v>
      </c>
      <c r="I41" s="234">
        <f t="shared" si="8"/>
        <v>47.5</v>
      </c>
      <c r="J41" s="234">
        <f t="shared" si="8"/>
        <v>52.6</v>
      </c>
      <c r="K41" s="234">
        <f t="shared" si="8"/>
        <v>44.39</v>
      </c>
      <c r="L41" s="234">
        <f t="shared" si="8"/>
        <v>43.59</v>
      </c>
      <c r="M41" s="234">
        <f t="shared" si="8"/>
        <v>64.349999999999994</v>
      </c>
      <c r="N41" s="234">
        <f t="shared" si="8"/>
        <v>64.349999999999994</v>
      </c>
    </row>
    <row r="42" spans="1:14" ht="15">
      <c r="A42" s="22" t="s">
        <v>8</v>
      </c>
      <c r="B42" s="19" t="s">
        <v>34</v>
      </c>
      <c r="C42" s="261">
        <f>MC!D19</f>
        <v>0.06</v>
      </c>
      <c r="D42" s="234">
        <f>TRUNC(D$27*C42,2)</f>
        <v>323.88</v>
      </c>
      <c r="E42" s="234">
        <f t="shared" si="8"/>
        <v>253.21</v>
      </c>
      <c r="F42" s="234">
        <f t="shared" si="8"/>
        <v>253.21</v>
      </c>
      <c r="G42" s="234">
        <f t="shared" si="8"/>
        <v>154.46</v>
      </c>
      <c r="H42" s="234">
        <f t="shared" si="8"/>
        <v>154.46</v>
      </c>
      <c r="I42" s="234">
        <f t="shared" si="8"/>
        <v>114.01</v>
      </c>
      <c r="J42" s="234">
        <f t="shared" si="8"/>
        <v>126.25</v>
      </c>
      <c r="K42" s="234">
        <f t="shared" si="8"/>
        <v>106.55</v>
      </c>
      <c r="L42" s="234">
        <f t="shared" si="8"/>
        <v>104.62</v>
      </c>
      <c r="M42" s="234">
        <f t="shared" si="8"/>
        <v>154.46</v>
      </c>
      <c r="N42" s="234">
        <f t="shared" si="8"/>
        <v>154.46</v>
      </c>
    </row>
    <row r="43" spans="1:14" ht="15">
      <c r="A43" s="22" t="s">
        <v>10</v>
      </c>
      <c r="B43" s="19" t="s">
        <v>35</v>
      </c>
      <c r="C43" s="261">
        <f>MC!D21</f>
        <v>1.4999999999999999E-2</v>
      </c>
      <c r="D43" s="234">
        <f t="shared" si="7"/>
        <v>80.97</v>
      </c>
      <c r="E43" s="234">
        <f t="shared" si="8"/>
        <v>63.3</v>
      </c>
      <c r="F43" s="234">
        <f t="shared" ref="F43:N43" si="9">TRUNC(F$27*$C43,2)</f>
        <v>63.3</v>
      </c>
      <c r="G43" s="234">
        <f t="shared" si="9"/>
        <v>38.61</v>
      </c>
      <c r="H43" s="234">
        <f t="shared" si="9"/>
        <v>38.61</v>
      </c>
      <c r="I43" s="234">
        <f t="shared" si="9"/>
        <v>28.5</v>
      </c>
      <c r="J43" s="234">
        <f t="shared" si="9"/>
        <v>31.56</v>
      </c>
      <c r="K43" s="234">
        <f t="shared" si="9"/>
        <v>26.63</v>
      </c>
      <c r="L43" s="234">
        <f t="shared" si="9"/>
        <v>26.15</v>
      </c>
      <c r="M43" s="234">
        <f t="shared" si="9"/>
        <v>38.61</v>
      </c>
      <c r="N43" s="234">
        <f t="shared" si="9"/>
        <v>38.61</v>
      </c>
    </row>
    <row r="44" spans="1:14" ht="15">
      <c r="A44" s="22" t="s">
        <v>12</v>
      </c>
      <c r="B44" s="19" t="s">
        <v>36</v>
      </c>
      <c r="C44" s="261">
        <f>MC!D22</f>
        <v>0.01</v>
      </c>
      <c r="D44" s="234">
        <f t="shared" si="7"/>
        <v>53.98</v>
      </c>
      <c r="E44" s="234">
        <f t="shared" si="8"/>
        <v>42.2</v>
      </c>
      <c r="F44" s="234">
        <f t="shared" si="8"/>
        <v>42.2</v>
      </c>
      <c r="G44" s="234">
        <f t="shared" si="8"/>
        <v>25.74</v>
      </c>
      <c r="H44" s="234">
        <f t="shared" si="8"/>
        <v>25.74</v>
      </c>
      <c r="I44" s="234">
        <f t="shared" si="8"/>
        <v>19</v>
      </c>
      <c r="J44" s="234">
        <f t="shared" si="8"/>
        <v>21.04</v>
      </c>
      <c r="K44" s="234">
        <f t="shared" si="8"/>
        <v>17.75</v>
      </c>
      <c r="L44" s="234">
        <f t="shared" si="8"/>
        <v>17.43</v>
      </c>
      <c r="M44" s="234">
        <f t="shared" si="8"/>
        <v>25.74</v>
      </c>
      <c r="N44" s="234">
        <f t="shared" si="8"/>
        <v>25.74</v>
      </c>
    </row>
    <row r="45" spans="1:14" ht="15">
      <c r="A45" s="22" t="s">
        <v>21</v>
      </c>
      <c r="B45" s="19" t="s">
        <v>37</v>
      </c>
      <c r="C45" s="261">
        <f>MC!D23</f>
        <v>6.0000000000000001E-3</v>
      </c>
      <c r="D45" s="234">
        <f t="shared" si="7"/>
        <v>32.380000000000003</v>
      </c>
      <c r="E45" s="234">
        <f t="shared" ref="E45:N45" si="10">TRUNC(E$27*$C45,2)</f>
        <v>25.32</v>
      </c>
      <c r="F45" s="234">
        <f t="shared" si="10"/>
        <v>25.32</v>
      </c>
      <c r="G45" s="234">
        <f t="shared" si="10"/>
        <v>15.44</v>
      </c>
      <c r="H45" s="234">
        <f t="shared" si="10"/>
        <v>15.44</v>
      </c>
      <c r="I45" s="234">
        <f t="shared" si="10"/>
        <v>11.4</v>
      </c>
      <c r="J45" s="234">
        <f t="shared" si="10"/>
        <v>12.62</v>
      </c>
      <c r="K45" s="234">
        <f t="shared" si="10"/>
        <v>10.65</v>
      </c>
      <c r="L45" s="234">
        <f t="shared" si="10"/>
        <v>10.46</v>
      </c>
      <c r="M45" s="234">
        <f t="shared" si="10"/>
        <v>15.44</v>
      </c>
      <c r="N45" s="234">
        <f t="shared" si="10"/>
        <v>15.44</v>
      </c>
    </row>
    <row r="46" spans="1:14" ht="15">
      <c r="A46" s="22" t="s">
        <v>22</v>
      </c>
      <c r="B46" s="19" t="s">
        <v>38</v>
      </c>
      <c r="C46" s="261">
        <f>MC!D24</f>
        <v>2E-3</v>
      </c>
      <c r="D46" s="234">
        <f t="shared" si="7"/>
        <v>10.79</v>
      </c>
      <c r="E46" s="234">
        <f t="shared" si="8"/>
        <v>8.44</v>
      </c>
      <c r="F46" s="234">
        <f t="shared" si="8"/>
        <v>8.44</v>
      </c>
      <c r="G46" s="234">
        <f t="shared" si="8"/>
        <v>5.14</v>
      </c>
      <c r="H46" s="234">
        <f>TRUNC(H$27*$C46,2)</f>
        <v>5.14</v>
      </c>
      <c r="I46" s="234">
        <f t="shared" si="8"/>
        <v>3.8</v>
      </c>
      <c r="J46" s="234">
        <f t="shared" si="8"/>
        <v>4.2</v>
      </c>
      <c r="K46" s="234">
        <f t="shared" si="8"/>
        <v>3.55</v>
      </c>
      <c r="L46" s="234">
        <f t="shared" si="8"/>
        <v>3.48</v>
      </c>
      <c r="M46" s="234">
        <f t="shared" si="8"/>
        <v>5.14</v>
      </c>
      <c r="N46" s="234">
        <f t="shared" si="8"/>
        <v>5.14</v>
      </c>
    </row>
    <row r="47" spans="1:14" ht="15">
      <c r="A47" s="22" t="s">
        <v>39</v>
      </c>
      <c r="B47" s="19" t="s">
        <v>40</v>
      </c>
      <c r="C47" s="261">
        <f>MC!D25</f>
        <v>0.08</v>
      </c>
      <c r="D47" s="234">
        <f t="shared" si="7"/>
        <v>431.85</v>
      </c>
      <c r="E47" s="234">
        <f t="shared" si="8"/>
        <v>337.62</v>
      </c>
      <c r="F47" s="234">
        <f t="shared" si="8"/>
        <v>337.62</v>
      </c>
      <c r="G47" s="234">
        <f t="shared" si="8"/>
        <v>205.95</v>
      </c>
      <c r="H47" s="234">
        <f t="shared" si="8"/>
        <v>205.95</v>
      </c>
      <c r="I47" s="234">
        <f t="shared" si="8"/>
        <v>152.01</v>
      </c>
      <c r="J47" s="234">
        <f t="shared" si="8"/>
        <v>168.34</v>
      </c>
      <c r="K47" s="234">
        <f t="shared" si="8"/>
        <v>142.07</v>
      </c>
      <c r="L47" s="234">
        <f t="shared" si="8"/>
        <v>139.49</v>
      </c>
      <c r="M47" s="234">
        <f t="shared" si="8"/>
        <v>205.94</v>
      </c>
      <c r="N47" s="234">
        <f t="shared" si="8"/>
        <v>205.94</v>
      </c>
    </row>
    <row r="48" spans="1:14" ht="15">
      <c r="A48" s="571" t="s">
        <v>41</v>
      </c>
      <c r="B48" s="571"/>
      <c r="C48" s="262">
        <f>TRUNC(SUM(C40:C47),5)</f>
        <v>0.39800000000000002</v>
      </c>
      <c r="D48" s="238">
        <f t="shared" ref="D48:N48" si="11">TRUNC(SUM(D40:D47),2)</f>
        <v>2148.42</v>
      </c>
      <c r="E48" s="238">
        <f t="shared" si="11"/>
        <v>1679.65</v>
      </c>
      <c r="F48" s="238">
        <f t="shared" si="11"/>
        <v>1679.65</v>
      </c>
      <c r="G48" s="238">
        <f t="shared" si="11"/>
        <v>1024.56</v>
      </c>
      <c r="H48" s="238">
        <f t="shared" si="11"/>
        <v>1024.56</v>
      </c>
      <c r="I48" s="238">
        <f t="shared" si="11"/>
        <v>756.26</v>
      </c>
      <c r="J48" s="238">
        <f t="shared" si="11"/>
        <v>837.46</v>
      </c>
      <c r="K48" s="238">
        <f t="shared" si="11"/>
        <v>706.76</v>
      </c>
      <c r="L48" s="238">
        <f t="shared" si="11"/>
        <v>693.95</v>
      </c>
      <c r="M48" s="238">
        <f t="shared" si="11"/>
        <v>1024.55</v>
      </c>
      <c r="N48" s="238">
        <f t="shared" si="11"/>
        <v>1024.55</v>
      </c>
    </row>
    <row r="49" spans="1:14" ht="7.5" customHeight="1">
      <c r="A49" s="7"/>
      <c r="B49" s="7"/>
      <c r="C49" s="4"/>
      <c r="D49" s="232"/>
      <c r="E49" s="232"/>
      <c r="F49" s="232"/>
      <c r="G49" s="232"/>
      <c r="H49" s="232"/>
      <c r="I49" s="232"/>
      <c r="J49" s="232"/>
      <c r="K49" s="232"/>
      <c r="L49" s="232"/>
      <c r="M49" s="232"/>
      <c r="N49" s="232"/>
    </row>
    <row r="50" spans="1:14" ht="18.75">
      <c r="A50" s="609" t="s">
        <v>42</v>
      </c>
      <c r="B50" s="609"/>
      <c r="C50" s="609"/>
      <c r="D50" s="609"/>
      <c r="E50" s="609"/>
      <c r="F50" s="609"/>
      <c r="G50" s="609"/>
      <c r="H50" s="609"/>
      <c r="I50" s="609"/>
      <c r="J50" s="609"/>
      <c r="K50" s="609"/>
      <c r="L50" s="609"/>
      <c r="M50" s="609"/>
      <c r="N50" s="609"/>
    </row>
    <row r="51" spans="1:14" ht="15">
      <c r="A51" s="318" t="s">
        <v>43</v>
      </c>
      <c r="B51" s="611" t="s">
        <v>44</v>
      </c>
      <c r="C51" s="612"/>
      <c r="D51" s="319" t="s">
        <v>87</v>
      </c>
      <c r="E51" s="319" t="s">
        <v>87</v>
      </c>
      <c r="F51" s="319" t="s">
        <v>87</v>
      </c>
      <c r="G51" s="319" t="s">
        <v>87</v>
      </c>
      <c r="H51" s="319" t="s">
        <v>87</v>
      </c>
      <c r="I51" s="319" t="s">
        <v>87</v>
      </c>
      <c r="J51" s="319" t="s">
        <v>87</v>
      </c>
      <c r="K51" s="319" t="s">
        <v>87</v>
      </c>
      <c r="L51" s="319" t="s">
        <v>87</v>
      </c>
      <c r="M51" s="319" t="s">
        <v>87</v>
      </c>
      <c r="N51" s="319" t="s">
        <v>87</v>
      </c>
    </row>
    <row r="52" spans="1:14" ht="15">
      <c r="A52" s="26" t="s">
        <v>3</v>
      </c>
      <c r="B52" s="309" t="s">
        <v>88</v>
      </c>
      <c r="C52" s="182">
        <f>MC!C30</f>
        <v>377.64</v>
      </c>
      <c r="D52" s="180">
        <f>TRUNC(($C52)-(D$22*6%),2)</f>
        <v>53.75</v>
      </c>
      <c r="E52" s="180">
        <f>TRUNC(($C52)-(E$22*6%),2)</f>
        <v>124.42</v>
      </c>
      <c r="F52" s="180">
        <f>TRUNC(($C52)-(F$22*6%),2)</f>
        <v>124.42</v>
      </c>
      <c r="G52" s="180">
        <f>TRUNC(($C52)-(G$22*6%),2)</f>
        <v>223.17</v>
      </c>
      <c r="H52" s="180">
        <f>TRUNC(($C52)-(H$22*6%),2)</f>
        <v>223.17</v>
      </c>
      <c r="I52" s="180">
        <f>TRUNC((MC!$C$32)-(I$22*6%),2)</f>
        <v>155.97999999999999</v>
      </c>
      <c r="J52" s="180">
        <f>TRUNC((MC!$C$32)-(J$22*6%),2)</f>
        <v>155.97999999999999</v>
      </c>
      <c r="K52" s="180">
        <f>TRUNC((MC!$C$32)-(K$22*6%),2)</f>
        <v>163.44</v>
      </c>
      <c r="L52" s="180">
        <f>TRUNC(($C52)-(L$22*6%),2)</f>
        <v>273.01</v>
      </c>
      <c r="M52" s="180">
        <f>TRUNC(($C52)-(M$22*6%),2)</f>
        <v>223.17</v>
      </c>
      <c r="N52" s="180">
        <f>TRUNC(($C52)-(N$22*6%),2)</f>
        <v>223.17</v>
      </c>
    </row>
    <row r="53" spans="1:14" ht="15">
      <c r="A53" s="26" t="s">
        <v>5</v>
      </c>
      <c r="B53" s="25" t="s">
        <v>89</v>
      </c>
      <c r="C53" s="263"/>
      <c r="D53" s="180">
        <f>TRUNC(MC!$C34*D$12,2)</f>
        <v>929.41</v>
      </c>
      <c r="E53" s="180">
        <f>TRUNC(MC!$C34*E$12,2)</f>
        <v>929.41</v>
      </c>
      <c r="F53" s="180">
        <f>TRUNC(MC!$C34*F$12,2)</f>
        <v>929.41</v>
      </c>
      <c r="G53" s="180">
        <f>TRUNC(MC!$C34*G$12,2)</f>
        <v>929.41</v>
      </c>
      <c r="H53" s="180">
        <f>TRUNC(MC!$C34*H$12,2)</f>
        <v>929.41</v>
      </c>
      <c r="I53" s="180">
        <f>TRUNC(MC!$C34*I$12,2)</f>
        <v>664.5</v>
      </c>
      <c r="J53" s="180">
        <f>TRUNC(MC!$C34*J$12,2)</f>
        <v>664.5</v>
      </c>
      <c r="K53" s="180">
        <f>TRUNC(MC!$C34*K$12,2)</f>
        <v>664.5</v>
      </c>
      <c r="L53" s="180">
        <f>TRUNC(MC!$C34*L$12,2)</f>
        <v>929.41</v>
      </c>
      <c r="M53" s="180">
        <f>TRUNC(MC!$C34*M$12,2)</f>
        <v>929.41</v>
      </c>
      <c r="N53" s="180">
        <f>TRUNC(MC!$C34*N$12,2)</f>
        <v>929.41</v>
      </c>
    </row>
    <row r="54" spans="1:14" ht="15">
      <c r="A54" s="26" t="s">
        <v>8</v>
      </c>
      <c r="B54" s="25" t="s">
        <v>217</v>
      </c>
      <c r="C54" s="182"/>
      <c r="D54" s="182">
        <f>MC!$C41</f>
        <v>200</v>
      </c>
      <c r="E54" s="182">
        <f>MC!$C41</f>
        <v>200</v>
      </c>
      <c r="F54" s="182">
        <f>MC!$C41</f>
        <v>200</v>
      </c>
      <c r="G54" s="182">
        <f>MC!$C41</f>
        <v>200</v>
      </c>
      <c r="H54" s="182">
        <f>MC!$C41</f>
        <v>200</v>
      </c>
      <c r="I54" s="182">
        <f>MC!$C41</f>
        <v>200</v>
      </c>
      <c r="J54" s="182">
        <f>MC!$C41</f>
        <v>200</v>
      </c>
      <c r="K54" s="182">
        <f>MC!$C41</f>
        <v>200</v>
      </c>
      <c r="L54" s="182">
        <f>MC!$C41</f>
        <v>200</v>
      </c>
      <c r="M54" s="182">
        <f>MC!$C41</f>
        <v>200</v>
      </c>
      <c r="N54" s="182">
        <f>MC!$C41</f>
        <v>200</v>
      </c>
    </row>
    <row r="55" spans="1:14" ht="15">
      <c r="A55" s="26" t="s">
        <v>10</v>
      </c>
      <c r="B55" s="25" t="s">
        <v>90</v>
      </c>
      <c r="C55" s="182"/>
      <c r="D55" s="182">
        <f>MC!$C47</f>
        <v>13.64</v>
      </c>
      <c r="E55" s="182">
        <f>MC!$C47</f>
        <v>13.64</v>
      </c>
      <c r="F55" s="182">
        <f>MC!$C47</f>
        <v>13.64</v>
      </c>
      <c r="G55" s="182">
        <f>MC!$C47</f>
        <v>13.64</v>
      </c>
      <c r="H55" s="182">
        <f>MC!$C47</f>
        <v>13.64</v>
      </c>
      <c r="I55" s="182">
        <f>MC!$C47</f>
        <v>13.64</v>
      </c>
      <c r="J55" s="182">
        <f>MC!$C47</f>
        <v>13.64</v>
      </c>
      <c r="K55" s="182">
        <f>MC!$C47</f>
        <v>13.64</v>
      </c>
      <c r="L55" s="182">
        <f>MC!$C47</f>
        <v>13.64</v>
      </c>
      <c r="M55" s="182">
        <f>MC!$C47</f>
        <v>13.64</v>
      </c>
      <c r="N55" s="182">
        <f>MC!$C47</f>
        <v>13.64</v>
      </c>
    </row>
    <row r="56" spans="1:14" ht="15">
      <c r="A56" s="17" t="s">
        <v>45</v>
      </c>
      <c r="B56" s="34" t="s">
        <v>162</v>
      </c>
      <c r="C56" s="264"/>
      <c r="D56" s="264">
        <f>MC!$C53</f>
        <v>3.61</v>
      </c>
      <c r="E56" s="264">
        <f>MC!$C53</f>
        <v>3.61</v>
      </c>
      <c r="F56" s="264">
        <f>MC!$C53</f>
        <v>3.61</v>
      </c>
      <c r="G56" s="264">
        <f>MC!$C53</f>
        <v>3.61</v>
      </c>
      <c r="H56" s="264">
        <f>MC!$C53</f>
        <v>3.61</v>
      </c>
      <c r="I56" s="264">
        <f>MC!$C53</f>
        <v>3.61</v>
      </c>
      <c r="J56" s="264">
        <f>MC!$C53</f>
        <v>3.61</v>
      </c>
      <c r="K56" s="264">
        <f>MC!$C53</f>
        <v>3.61</v>
      </c>
      <c r="L56" s="264">
        <f>MC!$C53</f>
        <v>3.61</v>
      </c>
      <c r="M56" s="264">
        <f>MC!$C53</f>
        <v>3.61</v>
      </c>
      <c r="N56" s="264">
        <f>MC!$C53</f>
        <v>3.61</v>
      </c>
    </row>
    <row r="57" spans="1:14" ht="15">
      <c r="A57" s="17" t="s">
        <v>469</v>
      </c>
      <c r="B57" s="34" t="s">
        <v>470</v>
      </c>
      <c r="C57" s="264"/>
      <c r="D57" s="181">
        <f t="shared" ref="D57:N57" si="12">TRUNC(C57,2)</f>
        <v>0</v>
      </c>
      <c r="E57" s="181">
        <f t="shared" si="12"/>
        <v>0</v>
      </c>
      <c r="F57" s="181">
        <f t="shared" si="12"/>
        <v>0</v>
      </c>
      <c r="G57" s="181">
        <f t="shared" si="12"/>
        <v>0</v>
      </c>
      <c r="H57" s="181">
        <f t="shared" si="12"/>
        <v>0</v>
      </c>
      <c r="I57" s="181">
        <f t="shared" si="12"/>
        <v>0</v>
      </c>
      <c r="J57" s="181">
        <f t="shared" si="12"/>
        <v>0</v>
      </c>
      <c r="K57" s="181">
        <f t="shared" si="12"/>
        <v>0</v>
      </c>
      <c r="L57" s="181">
        <f t="shared" si="12"/>
        <v>0</v>
      </c>
      <c r="M57" s="181">
        <f t="shared" si="12"/>
        <v>0</v>
      </c>
      <c r="N57" s="181">
        <f t="shared" si="12"/>
        <v>0</v>
      </c>
    </row>
    <row r="58" spans="1:14" ht="15">
      <c r="A58" s="569" t="s">
        <v>41</v>
      </c>
      <c r="B58" s="569"/>
      <c r="C58" s="569"/>
      <c r="D58" s="231">
        <f t="shared" ref="D58:N58" si="13">TRUNC(SUM(D52:D57),2)</f>
        <v>1200.4100000000001</v>
      </c>
      <c r="E58" s="231">
        <f t="shared" si="13"/>
        <v>1271.08</v>
      </c>
      <c r="F58" s="231">
        <f t="shared" si="13"/>
        <v>1271.08</v>
      </c>
      <c r="G58" s="231">
        <f t="shared" si="13"/>
        <v>1369.83</v>
      </c>
      <c r="H58" s="231">
        <f t="shared" si="13"/>
        <v>1369.83</v>
      </c>
      <c r="I58" s="231">
        <f t="shared" si="13"/>
        <v>1037.73</v>
      </c>
      <c r="J58" s="231">
        <f t="shared" si="13"/>
        <v>1037.73</v>
      </c>
      <c r="K58" s="231">
        <f t="shared" si="13"/>
        <v>1045.19</v>
      </c>
      <c r="L58" s="231">
        <f t="shared" si="13"/>
        <v>1419.67</v>
      </c>
      <c r="M58" s="231">
        <f t="shared" si="13"/>
        <v>1369.83</v>
      </c>
      <c r="N58" s="231">
        <f t="shared" si="13"/>
        <v>1369.83</v>
      </c>
    </row>
    <row r="59" spans="1:14" ht="9.75" customHeight="1">
      <c r="A59" s="8"/>
      <c r="B59" s="8"/>
      <c r="C59" s="2"/>
      <c r="D59" s="232"/>
      <c r="E59" s="232"/>
      <c r="F59" s="232"/>
      <c r="G59" s="232"/>
      <c r="H59" s="232"/>
      <c r="I59" s="232"/>
      <c r="J59" s="232"/>
      <c r="K59" s="232"/>
      <c r="L59" s="232"/>
      <c r="M59" s="232"/>
      <c r="N59" s="232"/>
    </row>
    <row r="60" spans="1:14" ht="18.75">
      <c r="A60" s="607" t="s">
        <v>46</v>
      </c>
      <c r="B60" s="607"/>
      <c r="C60" s="607"/>
      <c r="D60" s="607"/>
      <c r="E60" s="607"/>
      <c r="F60" s="607"/>
      <c r="G60" s="607"/>
      <c r="H60" s="607"/>
      <c r="I60" s="607"/>
      <c r="J60" s="607"/>
      <c r="K60" s="607"/>
      <c r="L60" s="607"/>
      <c r="M60" s="607"/>
      <c r="N60" s="607"/>
    </row>
    <row r="61" spans="1:14" ht="15">
      <c r="A61" s="11">
        <v>2</v>
      </c>
      <c r="B61" s="574" t="s">
        <v>47</v>
      </c>
      <c r="C61" s="574"/>
      <c r="D61" s="230" t="s">
        <v>87</v>
      </c>
      <c r="E61" s="230" t="s">
        <v>87</v>
      </c>
      <c r="F61" s="230" t="s">
        <v>87</v>
      </c>
      <c r="G61" s="230" t="s">
        <v>87</v>
      </c>
      <c r="H61" s="230" t="s">
        <v>87</v>
      </c>
      <c r="I61" s="230" t="s">
        <v>87</v>
      </c>
      <c r="J61" s="230" t="s">
        <v>87</v>
      </c>
      <c r="K61" s="230" t="s">
        <v>87</v>
      </c>
      <c r="L61" s="230" t="s">
        <v>87</v>
      </c>
      <c r="M61" s="230" t="s">
        <v>87</v>
      </c>
      <c r="N61" s="230" t="s">
        <v>87</v>
      </c>
    </row>
    <row r="62" spans="1:14" ht="15">
      <c r="A62" s="10" t="s">
        <v>24</v>
      </c>
      <c r="B62" s="575" t="s">
        <v>25</v>
      </c>
      <c r="C62" s="575"/>
      <c r="D62" s="240">
        <f t="shared" ref="D62:N62" si="14">TRUNC(D36,2)</f>
        <v>838.41</v>
      </c>
      <c r="E62" s="240">
        <f t="shared" si="14"/>
        <v>655.48</v>
      </c>
      <c r="F62" s="240">
        <f t="shared" si="14"/>
        <v>655.48</v>
      </c>
      <c r="G62" s="240">
        <f t="shared" si="14"/>
        <v>399.83</v>
      </c>
      <c r="H62" s="240">
        <f t="shared" si="14"/>
        <v>399.83</v>
      </c>
      <c r="I62" s="240">
        <f t="shared" si="14"/>
        <v>295.12</v>
      </c>
      <c r="J62" s="240">
        <f t="shared" si="14"/>
        <v>326.81</v>
      </c>
      <c r="K62" s="240">
        <f t="shared" si="14"/>
        <v>275.81</v>
      </c>
      <c r="L62" s="240">
        <f t="shared" si="14"/>
        <v>270.81</v>
      </c>
      <c r="M62" s="240">
        <f t="shared" si="14"/>
        <v>399.83</v>
      </c>
      <c r="N62" s="240">
        <f t="shared" si="14"/>
        <v>399.83</v>
      </c>
    </row>
    <row r="63" spans="1:14" ht="15">
      <c r="A63" s="10" t="s">
        <v>30</v>
      </c>
      <c r="B63" s="575" t="s">
        <v>31</v>
      </c>
      <c r="C63" s="575"/>
      <c r="D63" s="240">
        <f t="shared" ref="D63:N63" si="15">TRUNC(D48,2)</f>
        <v>2148.42</v>
      </c>
      <c r="E63" s="240">
        <f t="shared" si="15"/>
        <v>1679.65</v>
      </c>
      <c r="F63" s="240">
        <f t="shared" si="15"/>
        <v>1679.65</v>
      </c>
      <c r="G63" s="240">
        <f t="shared" si="15"/>
        <v>1024.56</v>
      </c>
      <c r="H63" s="240">
        <f t="shared" si="15"/>
        <v>1024.56</v>
      </c>
      <c r="I63" s="240">
        <f t="shared" si="15"/>
        <v>756.26</v>
      </c>
      <c r="J63" s="240">
        <f t="shared" si="15"/>
        <v>837.46</v>
      </c>
      <c r="K63" s="240">
        <f t="shared" si="15"/>
        <v>706.76</v>
      </c>
      <c r="L63" s="240">
        <f t="shared" si="15"/>
        <v>693.95</v>
      </c>
      <c r="M63" s="240">
        <f t="shared" si="15"/>
        <v>1024.55</v>
      </c>
      <c r="N63" s="240">
        <f t="shared" si="15"/>
        <v>1024.55</v>
      </c>
    </row>
    <row r="64" spans="1:14" ht="15">
      <c r="A64" s="10" t="s">
        <v>43</v>
      </c>
      <c r="B64" s="575" t="s">
        <v>44</v>
      </c>
      <c r="C64" s="575"/>
      <c r="D64" s="240">
        <f t="shared" ref="D64:N64" si="16">TRUNC(D58,2)</f>
        <v>1200.4100000000001</v>
      </c>
      <c r="E64" s="240">
        <f t="shared" si="16"/>
        <v>1271.08</v>
      </c>
      <c r="F64" s="240">
        <f t="shared" si="16"/>
        <v>1271.08</v>
      </c>
      <c r="G64" s="240">
        <f t="shared" si="16"/>
        <v>1369.83</v>
      </c>
      <c r="H64" s="240">
        <f t="shared" si="16"/>
        <v>1369.83</v>
      </c>
      <c r="I64" s="240">
        <f t="shared" si="16"/>
        <v>1037.73</v>
      </c>
      <c r="J64" s="240">
        <f t="shared" si="16"/>
        <v>1037.73</v>
      </c>
      <c r="K64" s="240">
        <f t="shared" si="16"/>
        <v>1045.19</v>
      </c>
      <c r="L64" s="240">
        <f t="shared" si="16"/>
        <v>1419.67</v>
      </c>
      <c r="M64" s="240">
        <f t="shared" si="16"/>
        <v>1369.83</v>
      </c>
      <c r="N64" s="240">
        <f t="shared" si="16"/>
        <v>1369.83</v>
      </c>
    </row>
    <row r="65" spans="1:14" ht="15">
      <c r="A65" s="576" t="s">
        <v>48</v>
      </c>
      <c r="B65" s="576"/>
      <c r="C65" s="576"/>
      <c r="D65" s="279">
        <f t="shared" ref="D65:N65" si="17">TRUNC(SUM(D62:D64),2)</f>
        <v>4187.24</v>
      </c>
      <c r="E65" s="279">
        <f t="shared" si="17"/>
        <v>3606.21</v>
      </c>
      <c r="F65" s="279">
        <f t="shared" si="17"/>
        <v>3606.21</v>
      </c>
      <c r="G65" s="279">
        <f t="shared" si="17"/>
        <v>2794.22</v>
      </c>
      <c r="H65" s="279">
        <f t="shared" si="17"/>
        <v>2794.22</v>
      </c>
      <c r="I65" s="279">
        <f t="shared" si="17"/>
        <v>2089.11</v>
      </c>
      <c r="J65" s="279">
        <f t="shared" si="17"/>
        <v>2202</v>
      </c>
      <c r="K65" s="279">
        <f t="shared" si="17"/>
        <v>2027.76</v>
      </c>
      <c r="L65" s="279">
        <f t="shared" si="17"/>
        <v>2384.4299999999998</v>
      </c>
      <c r="M65" s="279">
        <f t="shared" si="17"/>
        <v>2794.21</v>
      </c>
      <c r="N65" s="279">
        <f t="shared" si="17"/>
        <v>2794.21</v>
      </c>
    </row>
    <row r="66" spans="1:14" ht="15">
      <c r="A66" s="8"/>
      <c r="B66" s="8"/>
      <c r="C66" s="2"/>
      <c r="D66" s="232"/>
      <c r="E66" s="232"/>
      <c r="F66" s="232"/>
      <c r="G66" s="232"/>
      <c r="H66" s="232"/>
      <c r="I66" s="232"/>
      <c r="J66" s="232"/>
      <c r="K66" s="232"/>
      <c r="L66" s="232"/>
      <c r="M66" s="232"/>
      <c r="N66" s="232"/>
    </row>
    <row r="67" spans="1:14" ht="18.75">
      <c r="A67" s="610" t="s">
        <v>49</v>
      </c>
      <c r="B67" s="610"/>
      <c r="C67" s="610"/>
      <c r="D67" s="610"/>
      <c r="E67" s="610"/>
      <c r="F67" s="610"/>
      <c r="G67" s="610"/>
      <c r="H67" s="610"/>
      <c r="I67" s="610"/>
      <c r="J67" s="610"/>
      <c r="K67" s="610"/>
      <c r="L67" s="610"/>
      <c r="M67" s="610"/>
      <c r="N67" s="610"/>
    </row>
    <row r="68" spans="1:14" ht="15">
      <c r="A68" s="11">
        <v>3</v>
      </c>
      <c r="B68" s="11" t="s">
        <v>50</v>
      </c>
      <c r="C68" s="230" t="s">
        <v>86</v>
      </c>
      <c r="D68" s="230" t="s">
        <v>87</v>
      </c>
      <c r="E68" s="230" t="s">
        <v>87</v>
      </c>
      <c r="F68" s="230" t="s">
        <v>87</v>
      </c>
      <c r="G68" s="230" t="s">
        <v>87</v>
      </c>
      <c r="H68" s="230" t="s">
        <v>87</v>
      </c>
      <c r="I68" s="230" t="s">
        <v>87</v>
      </c>
      <c r="J68" s="230" t="s">
        <v>87</v>
      </c>
      <c r="K68" s="230" t="s">
        <v>87</v>
      </c>
      <c r="L68" s="230" t="s">
        <v>87</v>
      </c>
      <c r="M68" s="230" t="s">
        <v>87</v>
      </c>
      <c r="N68" s="230" t="s">
        <v>87</v>
      </c>
    </row>
    <row r="69" spans="1:14" ht="15">
      <c r="A69" s="21" t="s">
        <v>3</v>
      </c>
      <c r="B69" s="35" t="s">
        <v>51</v>
      </c>
      <c r="C69" s="265">
        <f>MC!D67</f>
        <v>8.3000000000000001E-3</v>
      </c>
      <c r="D69" s="234">
        <f t="shared" ref="D69:N70" si="18">TRUNC(D$27*$C69,2)</f>
        <v>44.8</v>
      </c>
      <c r="E69" s="234">
        <f t="shared" si="18"/>
        <v>35.020000000000003</v>
      </c>
      <c r="F69" s="234">
        <f t="shared" si="18"/>
        <v>35.020000000000003</v>
      </c>
      <c r="G69" s="234">
        <f t="shared" si="18"/>
        <v>21.36</v>
      </c>
      <c r="H69" s="234">
        <f t="shared" si="18"/>
        <v>21.36</v>
      </c>
      <c r="I69" s="234">
        <f t="shared" si="18"/>
        <v>15.77</v>
      </c>
      <c r="J69" s="234">
        <f t="shared" si="18"/>
        <v>17.46</v>
      </c>
      <c r="K69" s="234">
        <f t="shared" si="18"/>
        <v>14.73</v>
      </c>
      <c r="L69" s="234">
        <f t="shared" si="18"/>
        <v>14.47</v>
      </c>
      <c r="M69" s="234">
        <f t="shared" si="18"/>
        <v>21.36</v>
      </c>
      <c r="N69" s="234">
        <f t="shared" si="18"/>
        <v>21.36</v>
      </c>
    </row>
    <row r="70" spans="1:14" ht="15">
      <c r="A70" s="26" t="s">
        <v>5</v>
      </c>
      <c r="B70" s="19" t="s">
        <v>52</v>
      </c>
      <c r="C70" s="265">
        <f>MC!D68</f>
        <v>5.9999999999999995E-4</v>
      </c>
      <c r="D70" s="234">
        <f t="shared" si="18"/>
        <v>3.23</v>
      </c>
      <c r="E70" s="234">
        <f t="shared" si="18"/>
        <v>2.5299999999999998</v>
      </c>
      <c r="F70" s="234">
        <f t="shared" si="18"/>
        <v>2.5299999999999998</v>
      </c>
      <c r="G70" s="234">
        <f t="shared" si="18"/>
        <v>1.54</v>
      </c>
      <c r="H70" s="234">
        <f t="shared" si="18"/>
        <v>1.54</v>
      </c>
      <c r="I70" s="234">
        <f t="shared" si="18"/>
        <v>1.1399999999999999</v>
      </c>
      <c r="J70" s="234">
        <f t="shared" si="18"/>
        <v>1.26</v>
      </c>
      <c r="K70" s="234">
        <f t="shared" si="18"/>
        <v>1.06</v>
      </c>
      <c r="L70" s="234">
        <f t="shared" si="18"/>
        <v>1.04</v>
      </c>
      <c r="M70" s="234">
        <f t="shared" si="18"/>
        <v>1.54</v>
      </c>
      <c r="N70" s="234">
        <f t="shared" si="18"/>
        <v>1.54</v>
      </c>
    </row>
    <row r="71" spans="1:14" ht="15">
      <c r="A71" s="26" t="s">
        <v>8</v>
      </c>
      <c r="B71" s="19" t="s">
        <v>53</v>
      </c>
      <c r="C71" s="265">
        <v>0.4</v>
      </c>
      <c r="D71" s="234">
        <f>0.4*0.08*0.1*(D$27+D$32+D$33)</f>
        <v>19.193152000000001</v>
      </c>
      <c r="E71" s="234">
        <f t="shared" ref="E71:N71" si="19">0.4*0.08*0.1*(E$27+E$32+E$33)</f>
        <v>15.00544</v>
      </c>
      <c r="F71" s="234">
        <f t="shared" si="19"/>
        <v>15.00544</v>
      </c>
      <c r="G71" s="234">
        <f t="shared" si="19"/>
        <v>9.1532160000000005</v>
      </c>
      <c r="H71" s="234">
        <f t="shared" si="19"/>
        <v>9.1532160000000005</v>
      </c>
      <c r="I71" s="234">
        <f t="shared" si="19"/>
        <v>6.7561600000000013</v>
      </c>
      <c r="J71" s="234">
        <f t="shared" si="19"/>
        <v>7.4816640000000003</v>
      </c>
      <c r="K71" s="234">
        <f t="shared" si="19"/>
        <v>6.3141440000000006</v>
      </c>
      <c r="L71" s="234">
        <f t="shared" si="19"/>
        <v>6.1996800000000007</v>
      </c>
      <c r="M71" s="234">
        <f t="shared" si="19"/>
        <v>9.1531839999999995</v>
      </c>
      <c r="N71" s="234">
        <f t="shared" si="19"/>
        <v>9.1531839999999995</v>
      </c>
    </row>
    <row r="72" spans="1:14" ht="15">
      <c r="A72" s="26" t="s">
        <v>10</v>
      </c>
      <c r="B72" s="19" t="s">
        <v>122</v>
      </c>
      <c r="C72" s="265">
        <f>MC!D70</f>
        <v>1.9400000000000001E-2</v>
      </c>
      <c r="D72" s="234">
        <f t="shared" ref="D72:D73" si="20">TRUNC(D$27*$C72,2)</f>
        <v>104.72</v>
      </c>
      <c r="E72" s="234">
        <f t="shared" ref="E72:N73" si="21">TRUNC(E$27*$C72,2)</f>
        <v>81.87</v>
      </c>
      <c r="F72" s="234">
        <f t="shared" si="21"/>
        <v>81.87</v>
      </c>
      <c r="G72" s="234">
        <f t="shared" si="21"/>
        <v>49.94</v>
      </c>
      <c r="H72" s="234">
        <f t="shared" si="21"/>
        <v>49.94</v>
      </c>
      <c r="I72" s="234">
        <f t="shared" si="21"/>
        <v>36.86</v>
      </c>
      <c r="J72" s="234">
        <f t="shared" si="21"/>
        <v>40.82</v>
      </c>
      <c r="K72" s="234">
        <f t="shared" si="21"/>
        <v>34.450000000000003</v>
      </c>
      <c r="L72" s="234">
        <f t="shared" si="21"/>
        <v>33.82</v>
      </c>
      <c r="M72" s="234">
        <f t="shared" si="21"/>
        <v>49.94</v>
      </c>
      <c r="N72" s="234">
        <f t="shared" si="21"/>
        <v>49.94</v>
      </c>
    </row>
    <row r="73" spans="1:14" ht="30">
      <c r="A73" s="26" t="s">
        <v>12</v>
      </c>
      <c r="B73" s="19" t="s">
        <v>91</v>
      </c>
      <c r="C73" s="265">
        <f>MC!D71</f>
        <v>7.7000000000000002E-3</v>
      </c>
      <c r="D73" s="234">
        <f t="shared" si="20"/>
        <v>41.56</v>
      </c>
      <c r="E73" s="234">
        <f t="shared" si="21"/>
        <v>32.49</v>
      </c>
      <c r="F73" s="234">
        <f t="shared" si="21"/>
        <v>32.49</v>
      </c>
      <c r="G73" s="234">
        <f t="shared" si="21"/>
        <v>19.82</v>
      </c>
      <c r="H73" s="234">
        <f t="shared" si="21"/>
        <v>19.82</v>
      </c>
      <c r="I73" s="234">
        <f t="shared" si="21"/>
        <v>14.63</v>
      </c>
      <c r="J73" s="234">
        <f t="shared" si="21"/>
        <v>16.2</v>
      </c>
      <c r="K73" s="234">
        <f t="shared" si="21"/>
        <v>13.67</v>
      </c>
      <c r="L73" s="234">
        <f t="shared" si="21"/>
        <v>13.42</v>
      </c>
      <c r="M73" s="234">
        <f t="shared" si="21"/>
        <v>19.82</v>
      </c>
      <c r="N73" s="234">
        <f t="shared" si="21"/>
        <v>19.82</v>
      </c>
    </row>
    <row r="74" spans="1:14" ht="15">
      <c r="A74" s="39" t="s">
        <v>21</v>
      </c>
      <c r="B74" s="18" t="s">
        <v>54</v>
      </c>
      <c r="C74" s="273">
        <v>0.4</v>
      </c>
      <c r="D74" s="274">
        <f>0.08*0.4*(D27+D32+D33)</f>
        <v>191.93152000000003</v>
      </c>
      <c r="E74" s="274">
        <f t="shared" ref="E74:N74" si="22">0.08*0.4*(E$27+E$32+E$33)</f>
        <v>150.05439999999999</v>
      </c>
      <c r="F74" s="274">
        <f t="shared" si="22"/>
        <v>150.05439999999999</v>
      </c>
      <c r="G74" s="274">
        <f t="shared" si="22"/>
        <v>91.532160000000005</v>
      </c>
      <c r="H74" s="274">
        <f t="shared" si="22"/>
        <v>91.532160000000005</v>
      </c>
      <c r="I74" s="274">
        <f t="shared" si="22"/>
        <v>67.561600000000013</v>
      </c>
      <c r="J74" s="274">
        <f t="shared" si="22"/>
        <v>74.816640000000007</v>
      </c>
      <c r="K74" s="274">
        <f t="shared" si="22"/>
        <v>63.141440000000003</v>
      </c>
      <c r="L74" s="274">
        <f t="shared" si="22"/>
        <v>61.996800000000007</v>
      </c>
      <c r="M74" s="274">
        <f t="shared" si="22"/>
        <v>91.531840000000003</v>
      </c>
      <c r="N74" s="274">
        <f t="shared" si="22"/>
        <v>91.531840000000003</v>
      </c>
    </row>
    <row r="75" spans="1:14" ht="15">
      <c r="A75" s="578" t="s">
        <v>41</v>
      </c>
      <c r="B75" s="578"/>
      <c r="C75" s="276">
        <f>TRUNC(SUM(C69:C74),5)</f>
        <v>0.83599999999999997</v>
      </c>
      <c r="D75" s="277">
        <f t="shared" ref="D75:N75" si="23">TRUNC(SUM(D69:D74),2)</f>
        <v>405.43</v>
      </c>
      <c r="E75" s="277">
        <f t="shared" si="23"/>
        <v>316.95999999999998</v>
      </c>
      <c r="F75" s="277">
        <f t="shared" si="23"/>
        <v>316.95999999999998</v>
      </c>
      <c r="G75" s="277">
        <f t="shared" si="23"/>
        <v>193.34</v>
      </c>
      <c r="H75" s="277">
        <f t="shared" si="23"/>
        <v>193.34</v>
      </c>
      <c r="I75" s="277">
        <f t="shared" si="23"/>
        <v>142.71</v>
      </c>
      <c r="J75" s="277">
        <f t="shared" si="23"/>
        <v>158.03</v>
      </c>
      <c r="K75" s="277">
        <f t="shared" si="23"/>
        <v>133.36000000000001</v>
      </c>
      <c r="L75" s="277">
        <f t="shared" si="23"/>
        <v>130.94</v>
      </c>
      <c r="M75" s="277">
        <f t="shared" si="23"/>
        <v>193.34</v>
      </c>
      <c r="N75" s="277">
        <f t="shared" si="23"/>
        <v>193.34</v>
      </c>
    </row>
    <row r="76" spans="1:14" ht="15">
      <c r="A76" s="36"/>
      <c r="B76" s="36"/>
      <c r="C76" s="241"/>
      <c r="D76" s="241"/>
      <c r="E76" s="241"/>
      <c r="F76" s="241"/>
      <c r="G76" s="241"/>
      <c r="H76" s="241"/>
      <c r="I76" s="241"/>
      <c r="J76" s="241"/>
      <c r="K76" s="241"/>
      <c r="L76" s="241"/>
      <c r="M76" s="241"/>
      <c r="N76" s="241"/>
    </row>
    <row r="77" spans="1:14" ht="18.75">
      <c r="A77" s="623" t="s">
        <v>55</v>
      </c>
      <c r="B77" s="623"/>
      <c r="C77" s="623"/>
      <c r="D77" s="623"/>
      <c r="E77" s="623"/>
      <c r="F77" s="623"/>
      <c r="G77" s="623"/>
      <c r="H77" s="623"/>
      <c r="I77" s="623"/>
      <c r="J77" s="623"/>
      <c r="K77" s="623"/>
      <c r="L77" s="623"/>
      <c r="M77" s="623"/>
      <c r="N77" s="623"/>
    </row>
    <row r="78" spans="1:14" ht="18.75">
      <c r="A78" s="624" t="s">
        <v>56</v>
      </c>
      <c r="B78" s="624"/>
      <c r="C78" s="624"/>
      <c r="D78" s="624"/>
      <c r="E78" s="624"/>
      <c r="F78" s="624"/>
      <c r="G78" s="624"/>
      <c r="H78" s="624"/>
      <c r="I78" s="624"/>
      <c r="J78" s="624"/>
      <c r="K78" s="624"/>
      <c r="L78" s="624"/>
      <c r="M78" s="624"/>
      <c r="N78" s="624"/>
    </row>
    <row r="79" spans="1:14" ht="15">
      <c r="A79" s="37" t="s">
        <v>57</v>
      </c>
      <c r="B79" s="37" t="s">
        <v>58</v>
      </c>
      <c r="C79" s="242" t="s">
        <v>86</v>
      </c>
      <c r="D79" s="242" t="s">
        <v>87</v>
      </c>
      <c r="E79" s="242" t="s">
        <v>87</v>
      </c>
      <c r="F79" s="242" t="s">
        <v>87</v>
      </c>
      <c r="G79" s="242" t="s">
        <v>87</v>
      </c>
      <c r="H79" s="242" t="s">
        <v>87</v>
      </c>
      <c r="I79" s="242" t="s">
        <v>87</v>
      </c>
      <c r="J79" s="242" t="s">
        <v>87</v>
      </c>
      <c r="K79" s="242" t="s">
        <v>87</v>
      </c>
      <c r="L79" s="242" t="s">
        <v>87</v>
      </c>
      <c r="M79" s="242" t="s">
        <v>87</v>
      </c>
      <c r="N79" s="242" t="s">
        <v>87</v>
      </c>
    </row>
    <row r="80" spans="1:14" ht="15">
      <c r="A80" s="10" t="s">
        <v>3</v>
      </c>
      <c r="B80" s="38" t="s">
        <v>59</v>
      </c>
      <c r="C80" s="266">
        <f>MC!D77</f>
        <v>8.3299999999999999E-2</v>
      </c>
      <c r="D80" s="234">
        <f t="shared" ref="D80:N80" si="24">TRUNC(D$27*$C80,2)</f>
        <v>449.66</v>
      </c>
      <c r="E80" s="234">
        <f t="shared" si="24"/>
        <v>351.55</v>
      </c>
      <c r="F80" s="234">
        <f t="shared" si="24"/>
        <v>351.55</v>
      </c>
      <c r="G80" s="234">
        <f t="shared" si="24"/>
        <v>214.44</v>
      </c>
      <c r="H80" s="234">
        <f t="shared" si="24"/>
        <v>214.44</v>
      </c>
      <c r="I80" s="234">
        <f t="shared" si="24"/>
        <v>158.28</v>
      </c>
      <c r="J80" s="234">
        <f t="shared" si="24"/>
        <v>175.28</v>
      </c>
      <c r="K80" s="234">
        <f t="shared" si="24"/>
        <v>147.93</v>
      </c>
      <c r="L80" s="234">
        <f t="shared" si="24"/>
        <v>145.24</v>
      </c>
      <c r="M80" s="234">
        <f t="shared" si="24"/>
        <v>214.44</v>
      </c>
      <c r="N80" s="234">
        <f t="shared" si="24"/>
        <v>214.44</v>
      </c>
    </row>
    <row r="81" spans="1:14" ht="15">
      <c r="A81" s="10" t="s">
        <v>5</v>
      </c>
      <c r="B81" s="38" t="s">
        <v>60</v>
      </c>
      <c r="C81" s="266">
        <f>MC!D78</f>
        <v>1.3899999999999999E-2</v>
      </c>
      <c r="D81" s="234">
        <f t="shared" ref="D81:N86" si="25">TRUNC(D$27*$C81,2)</f>
        <v>75.03</v>
      </c>
      <c r="E81" s="234">
        <f t="shared" si="25"/>
        <v>58.66</v>
      </c>
      <c r="F81" s="234">
        <f t="shared" si="25"/>
        <v>58.66</v>
      </c>
      <c r="G81" s="234">
        <f t="shared" si="25"/>
        <v>35.78</v>
      </c>
      <c r="H81" s="234">
        <f t="shared" si="25"/>
        <v>35.78</v>
      </c>
      <c r="I81" s="234">
        <f t="shared" si="25"/>
        <v>26.41</v>
      </c>
      <c r="J81" s="234">
        <f t="shared" si="25"/>
        <v>29.24</v>
      </c>
      <c r="K81" s="234">
        <f t="shared" si="25"/>
        <v>24.68</v>
      </c>
      <c r="L81" s="234">
        <f t="shared" si="25"/>
        <v>24.23</v>
      </c>
      <c r="M81" s="234">
        <f t="shared" si="25"/>
        <v>35.78</v>
      </c>
      <c r="N81" s="234">
        <f t="shared" si="25"/>
        <v>35.78</v>
      </c>
    </row>
    <row r="82" spans="1:14" ht="15">
      <c r="A82" s="10" t="s">
        <v>8</v>
      </c>
      <c r="B82" s="38" t="s">
        <v>61</v>
      </c>
      <c r="C82" s="266">
        <f>MC!D79</f>
        <v>6.9999999999999999E-4</v>
      </c>
      <c r="D82" s="234">
        <f t="shared" si="25"/>
        <v>3.77</v>
      </c>
      <c r="E82" s="234">
        <f t="shared" si="25"/>
        <v>2.95</v>
      </c>
      <c r="F82" s="234">
        <f t="shared" si="25"/>
        <v>2.95</v>
      </c>
      <c r="G82" s="234">
        <f t="shared" si="25"/>
        <v>1.8</v>
      </c>
      <c r="H82" s="234">
        <f t="shared" si="25"/>
        <v>1.8</v>
      </c>
      <c r="I82" s="234">
        <f t="shared" si="25"/>
        <v>1.33</v>
      </c>
      <c r="J82" s="234">
        <f t="shared" si="25"/>
        <v>1.47</v>
      </c>
      <c r="K82" s="234">
        <f t="shared" si="25"/>
        <v>1.24</v>
      </c>
      <c r="L82" s="234">
        <f t="shared" si="25"/>
        <v>1.22</v>
      </c>
      <c r="M82" s="234">
        <f t="shared" si="25"/>
        <v>1.8</v>
      </c>
      <c r="N82" s="234">
        <f t="shared" si="25"/>
        <v>1.8</v>
      </c>
    </row>
    <row r="83" spans="1:14" ht="30">
      <c r="A83" s="10" t="s">
        <v>10</v>
      </c>
      <c r="B83" s="38" t="s">
        <v>62</v>
      </c>
      <c r="C83" s="266">
        <f>MC!D80</f>
        <v>8.3333333333333332E-3</v>
      </c>
      <c r="D83" s="234">
        <f t="shared" si="25"/>
        <v>44.98</v>
      </c>
      <c r="E83" s="234">
        <f t="shared" si="25"/>
        <v>35.159999999999997</v>
      </c>
      <c r="F83" s="234">
        <f t="shared" si="25"/>
        <v>35.159999999999997</v>
      </c>
      <c r="G83" s="234">
        <f t="shared" si="25"/>
        <v>21.45</v>
      </c>
      <c r="H83" s="234">
        <f t="shared" si="25"/>
        <v>21.45</v>
      </c>
      <c r="I83" s="234">
        <f t="shared" si="25"/>
        <v>15.83</v>
      </c>
      <c r="J83" s="234">
        <f t="shared" si="25"/>
        <v>17.53</v>
      </c>
      <c r="K83" s="234">
        <f t="shared" si="25"/>
        <v>14.79</v>
      </c>
      <c r="L83" s="234">
        <f t="shared" si="25"/>
        <v>14.53</v>
      </c>
      <c r="M83" s="234">
        <f t="shared" si="25"/>
        <v>21.45</v>
      </c>
      <c r="N83" s="234">
        <f t="shared" si="25"/>
        <v>21.45</v>
      </c>
    </row>
    <row r="84" spans="1:14" ht="30">
      <c r="A84" s="83" t="s">
        <v>12</v>
      </c>
      <c r="B84" s="84" t="s">
        <v>63</v>
      </c>
      <c r="C84" s="266">
        <f>MC!D81</f>
        <v>3.7037037037037035E-4</v>
      </c>
      <c r="D84" s="234">
        <f t="shared" si="25"/>
        <v>1.99</v>
      </c>
      <c r="E84" s="234">
        <f t="shared" si="25"/>
        <v>1.56</v>
      </c>
      <c r="F84" s="234">
        <f t="shared" si="25"/>
        <v>1.56</v>
      </c>
      <c r="G84" s="234">
        <f t="shared" si="25"/>
        <v>0.95</v>
      </c>
      <c r="H84" s="234">
        <f t="shared" si="25"/>
        <v>0.95</v>
      </c>
      <c r="I84" s="234">
        <f t="shared" si="25"/>
        <v>0.7</v>
      </c>
      <c r="J84" s="234">
        <f t="shared" si="25"/>
        <v>0.77</v>
      </c>
      <c r="K84" s="234">
        <f t="shared" si="25"/>
        <v>0.65</v>
      </c>
      <c r="L84" s="234">
        <f t="shared" si="25"/>
        <v>0.64</v>
      </c>
      <c r="M84" s="234">
        <f t="shared" si="25"/>
        <v>0.95</v>
      </c>
      <c r="N84" s="234">
        <f t="shared" si="25"/>
        <v>0.95</v>
      </c>
    </row>
    <row r="85" spans="1:14" ht="15">
      <c r="A85" s="581" t="s">
        <v>155</v>
      </c>
      <c r="B85" s="581"/>
      <c r="C85" s="260">
        <f>TRUNC(SUM(C80:C84),5)</f>
        <v>0.1066</v>
      </c>
      <c r="D85" s="236">
        <f t="shared" ref="D85:N85" si="26">TRUNC(SUM(D80:D84),2)</f>
        <v>575.42999999999995</v>
      </c>
      <c r="E85" s="236">
        <f t="shared" si="26"/>
        <v>449.88</v>
      </c>
      <c r="F85" s="236">
        <f t="shared" si="26"/>
        <v>449.88</v>
      </c>
      <c r="G85" s="236">
        <f t="shared" si="26"/>
        <v>274.42</v>
      </c>
      <c r="H85" s="236">
        <f t="shared" si="26"/>
        <v>274.42</v>
      </c>
      <c r="I85" s="236">
        <f t="shared" si="26"/>
        <v>202.55</v>
      </c>
      <c r="J85" s="236">
        <f t="shared" si="26"/>
        <v>224.29</v>
      </c>
      <c r="K85" s="236">
        <f t="shared" si="26"/>
        <v>189.29</v>
      </c>
      <c r="L85" s="236">
        <f t="shared" si="26"/>
        <v>185.86</v>
      </c>
      <c r="M85" s="236">
        <f t="shared" si="26"/>
        <v>274.42</v>
      </c>
      <c r="N85" s="236">
        <f t="shared" si="26"/>
        <v>274.42</v>
      </c>
    </row>
    <row r="86" spans="1:14" ht="30">
      <c r="A86" s="10" t="s">
        <v>21</v>
      </c>
      <c r="B86" s="38" t="s">
        <v>219</v>
      </c>
      <c r="C86" s="266">
        <f>C85*C48</f>
        <v>4.2426800000000001E-2</v>
      </c>
      <c r="D86" s="234">
        <f t="shared" si="25"/>
        <v>229.02</v>
      </c>
      <c r="E86" s="234">
        <f t="shared" si="25"/>
        <v>179.05</v>
      </c>
      <c r="F86" s="234">
        <f t="shared" si="25"/>
        <v>179.05</v>
      </c>
      <c r="G86" s="234">
        <f t="shared" si="25"/>
        <v>109.22</v>
      </c>
      <c r="H86" s="234">
        <f t="shared" si="25"/>
        <v>109.22</v>
      </c>
      <c r="I86" s="234">
        <f t="shared" si="25"/>
        <v>80.61</v>
      </c>
      <c r="J86" s="234">
        <f t="shared" si="25"/>
        <v>89.27</v>
      </c>
      <c r="K86" s="234">
        <f t="shared" si="25"/>
        <v>75.34</v>
      </c>
      <c r="L86" s="234">
        <f t="shared" si="25"/>
        <v>73.97</v>
      </c>
      <c r="M86" s="234">
        <f t="shared" si="25"/>
        <v>109.22</v>
      </c>
      <c r="N86" s="234">
        <f t="shared" si="25"/>
        <v>109.22</v>
      </c>
    </row>
    <row r="87" spans="1:14" ht="15">
      <c r="A87" s="581" t="s">
        <v>41</v>
      </c>
      <c r="B87" s="581"/>
      <c r="C87" s="260">
        <f>TRUNC(SUM(C85:C86),5)</f>
        <v>0.14902000000000001</v>
      </c>
      <c r="D87" s="236">
        <f t="shared" ref="D87:N87" si="27">TRUNC(SUM(D85:D86),2)</f>
        <v>804.45</v>
      </c>
      <c r="E87" s="236">
        <f t="shared" si="27"/>
        <v>628.92999999999995</v>
      </c>
      <c r="F87" s="236">
        <f t="shared" si="27"/>
        <v>628.92999999999995</v>
      </c>
      <c r="G87" s="236">
        <f t="shared" si="27"/>
        <v>383.64</v>
      </c>
      <c r="H87" s="236">
        <f t="shared" si="27"/>
        <v>383.64</v>
      </c>
      <c r="I87" s="236">
        <f t="shared" si="27"/>
        <v>283.16000000000003</v>
      </c>
      <c r="J87" s="236">
        <f t="shared" si="27"/>
        <v>313.56</v>
      </c>
      <c r="K87" s="236">
        <f t="shared" si="27"/>
        <v>264.63</v>
      </c>
      <c r="L87" s="236">
        <f t="shared" si="27"/>
        <v>259.83</v>
      </c>
      <c r="M87" s="236">
        <f t="shared" si="27"/>
        <v>383.64</v>
      </c>
      <c r="N87" s="236">
        <f t="shared" si="27"/>
        <v>383.64</v>
      </c>
    </row>
    <row r="88" spans="1:14" ht="8.25" customHeight="1">
      <c r="A88" s="7"/>
      <c r="B88" s="7"/>
      <c r="C88" s="4"/>
      <c r="D88" s="232"/>
      <c r="E88" s="232"/>
      <c r="F88" s="232"/>
      <c r="G88" s="232"/>
      <c r="H88" s="232"/>
      <c r="I88" s="232"/>
      <c r="J88" s="232"/>
      <c r="K88" s="232"/>
      <c r="L88" s="232"/>
      <c r="M88" s="232"/>
      <c r="N88" s="232"/>
    </row>
    <row r="89" spans="1:14" ht="18.75">
      <c r="A89" s="622" t="s">
        <v>64</v>
      </c>
      <c r="B89" s="622"/>
      <c r="C89" s="622"/>
      <c r="D89" s="622"/>
      <c r="E89" s="622"/>
      <c r="F89" s="622"/>
      <c r="G89" s="622"/>
      <c r="H89" s="622"/>
      <c r="I89" s="622"/>
      <c r="J89" s="622"/>
      <c r="K89" s="622"/>
      <c r="L89" s="622"/>
      <c r="M89" s="622"/>
      <c r="N89" s="622"/>
    </row>
    <row r="90" spans="1:14" ht="15">
      <c r="A90" s="16" t="s">
        <v>65</v>
      </c>
      <c r="B90" s="16" t="s">
        <v>66</v>
      </c>
      <c r="C90" s="237" t="s">
        <v>86</v>
      </c>
      <c r="D90" s="237" t="s">
        <v>87</v>
      </c>
      <c r="E90" s="237" t="s">
        <v>87</v>
      </c>
      <c r="F90" s="237" t="s">
        <v>87</v>
      </c>
      <c r="G90" s="237" t="s">
        <v>87</v>
      </c>
      <c r="H90" s="237" t="s">
        <v>87</v>
      </c>
      <c r="I90" s="237" t="s">
        <v>87</v>
      </c>
      <c r="J90" s="237" t="s">
        <v>87</v>
      </c>
      <c r="K90" s="237" t="s">
        <v>87</v>
      </c>
      <c r="L90" s="237" t="s">
        <v>87</v>
      </c>
      <c r="M90" s="237" t="s">
        <v>87</v>
      </c>
      <c r="N90" s="237" t="s">
        <v>87</v>
      </c>
    </row>
    <row r="91" spans="1:14" ht="30">
      <c r="A91" s="39" t="s">
        <v>3</v>
      </c>
      <c r="B91" s="18" t="s">
        <v>67</v>
      </c>
      <c r="C91" s="267">
        <v>0</v>
      </c>
      <c r="D91" s="243">
        <v>0</v>
      </c>
      <c r="E91" s="243">
        <v>0</v>
      </c>
      <c r="F91" s="243">
        <v>0</v>
      </c>
      <c r="G91" s="243">
        <v>0</v>
      </c>
      <c r="H91" s="243">
        <v>0</v>
      </c>
      <c r="I91" s="243">
        <v>0</v>
      </c>
      <c r="J91" s="243">
        <v>0</v>
      </c>
      <c r="K91" s="243">
        <v>0</v>
      </c>
      <c r="L91" s="243">
        <v>0</v>
      </c>
      <c r="M91" s="243">
        <v>0</v>
      </c>
      <c r="N91" s="243">
        <v>0</v>
      </c>
    </row>
    <row r="92" spans="1:14" ht="15">
      <c r="A92" s="581" t="s">
        <v>41</v>
      </c>
      <c r="B92" s="581"/>
      <c r="C92" s="268">
        <f>TRUNC(SUM(C91),4)</f>
        <v>0</v>
      </c>
      <c r="D92" s="244">
        <f t="shared" ref="D92:N92" si="28">TRUNC(D91,2)</f>
        <v>0</v>
      </c>
      <c r="E92" s="244">
        <f t="shared" si="28"/>
        <v>0</v>
      </c>
      <c r="F92" s="244">
        <f t="shared" si="28"/>
        <v>0</v>
      </c>
      <c r="G92" s="244">
        <f t="shared" si="28"/>
        <v>0</v>
      </c>
      <c r="H92" s="244">
        <f t="shared" si="28"/>
        <v>0</v>
      </c>
      <c r="I92" s="244">
        <f t="shared" si="28"/>
        <v>0</v>
      </c>
      <c r="J92" s="244">
        <f t="shared" si="28"/>
        <v>0</v>
      </c>
      <c r="K92" s="244">
        <f t="shared" si="28"/>
        <v>0</v>
      </c>
      <c r="L92" s="244">
        <f t="shared" si="28"/>
        <v>0</v>
      </c>
      <c r="M92" s="244">
        <f t="shared" si="28"/>
        <v>0</v>
      </c>
      <c r="N92" s="244">
        <f t="shared" si="28"/>
        <v>0</v>
      </c>
    </row>
    <row r="93" spans="1:14" ht="15">
      <c r="A93" s="8"/>
      <c r="B93" s="8"/>
      <c r="C93" s="2"/>
      <c r="D93" s="232"/>
      <c r="E93" s="232"/>
      <c r="F93" s="232"/>
      <c r="G93" s="232"/>
      <c r="H93" s="232"/>
      <c r="I93" s="232"/>
      <c r="J93" s="232"/>
      <c r="K93" s="232"/>
      <c r="L93" s="232"/>
      <c r="M93" s="232"/>
      <c r="N93" s="232"/>
    </row>
    <row r="94" spans="1:14" ht="18.75">
      <c r="A94" s="623" t="s">
        <v>68</v>
      </c>
      <c r="B94" s="623"/>
      <c r="C94" s="623"/>
      <c r="D94" s="623"/>
      <c r="E94" s="623"/>
      <c r="F94" s="623"/>
      <c r="G94" s="623"/>
      <c r="H94" s="623"/>
      <c r="I94" s="623"/>
      <c r="J94" s="623"/>
      <c r="K94" s="623"/>
      <c r="L94" s="623"/>
      <c r="M94" s="623"/>
      <c r="N94" s="623"/>
    </row>
    <row r="95" spans="1:14" ht="15">
      <c r="A95" s="11">
        <v>4</v>
      </c>
      <c r="B95" s="581" t="s">
        <v>69</v>
      </c>
      <c r="C95" s="581"/>
      <c r="D95" s="230" t="s">
        <v>87</v>
      </c>
      <c r="E95" s="230" t="s">
        <v>87</v>
      </c>
      <c r="F95" s="230" t="s">
        <v>87</v>
      </c>
      <c r="G95" s="230" t="s">
        <v>87</v>
      </c>
      <c r="H95" s="230" t="s">
        <v>87</v>
      </c>
      <c r="I95" s="230" t="s">
        <v>87</v>
      </c>
      <c r="J95" s="230" t="s">
        <v>87</v>
      </c>
      <c r="K95" s="230" t="s">
        <v>87</v>
      </c>
      <c r="L95" s="230" t="s">
        <v>87</v>
      </c>
      <c r="M95" s="230" t="s">
        <v>87</v>
      </c>
      <c r="N95" s="230" t="s">
        <v>87</v>
      </c>
    </row>
    <row r="96" spans="1:14" ht="15">
      <c r="A96" s="88" t="s">
        <v>57</v>
      </c>
      <c r="B96" s="575" t="s">
        <v>58</v>
      </c>
      <c r="C96" s="575"/>
      <c r="D96" s="245">
        <f t="shared" ref="D96:N96" si="29">TRUNC(D87,2)</f>
        <v>804.45</v>
      </c>
      <c r="E96" s="245">
        <f t="shared" si="29"/>
        <v>628.92999999999995</v>
      </c>
      <c r="F96" s="245">
        <f t="shared" si="29"/>
        <v>628.92999999999995</v>
      </c>
      <c r="G96" s="245">
        <f t="shared" si="29"/>
        <v>383.64</v>
      </c>
      <c r="H96" s="245">
        <f t="shared" si="29"/>
        <v>383.64</v>
      </c>
      <c r="I96" s="245">
        <f t="shared" si="29"/>
        <v>283.16000000000003</v>
      </c>
      <c r="J96" s="245">
        <f t="shared" si="29"/>
        <v>313.56</v>
      </c>
      <c r="K96" s="245">
        <f t="shared" si="29"/>
        <v>264.63</v>
      </c>
      <c r="L96" s="245">
        <f t="shared" si="29"/>
        <v>259.83</v>
      </c>
      <c r="M96" s="245">
        <f t="shared" si="29"/>
        <v>383.64</v>
      </c>
      <c r="N96" s="245">
        <f t="shared" si="29"/>
        <v>383.64</v>
      </c>
    </row>
    <row r="97" spans="1:14" ht="15">
      <c r="A97" s="88" t="s">
        <v>65</v>
      </c>
      <c r="B97" s="575" t="s">
        <v>66</v>
      </c>
      <c r="C97" s="575"/>
      <c r="D97" s="246">
        <v>0</v>
      </c>
      <c r="E97" s="246">
        <v>0</v>
      </c>
      <c r="F97" s="246">
        <v>0</v>
      </c>
      <c r="G97" s="246">
        <v>0</v>
      </c>
      <c r="H97" s="246">
        <v>0</v>
      </c>
      <c r="I97" s="246">
        <v>0</v>
      </c>
      <c r="J97" s="246">
        <v>0</v>
      </c>
      <c r="K97" s="246">
        <v>0</v>
      </c>
      <c r="L97" s="246">
        <v>0</v>
      </c>
      <c r="M97" s="246">
        <v>0</v>
      </c>
      <c r="N97" s="246">
        <v>0</v>
      </c>
    </row>
    <row r="98" spans="1:14" ht="15">
      <c r="A98" s="583" t="s">
        <v>41</v>
      </c>
      <c r="B98" s="583"/>
      <c r="C98" s="583"/>
      <c r="D98" s="272">
        <f t="shared" ref="D98:N98" si="30">TRUNC(SUM(D96:D97),2)</f>
        <v>804.45</v>
      </c>
      <c r="E98" s="272">
        <f t="shared" si="30"/>
        <v>628.92999999999995</v>
      </c>
      <c r="F98" s="272">
        <f t="shared" si="30"/>
        <v>628.92999999999995</v>
      </c>
      <c r="G98" s="272">
        <f t="shared" si="30"/>
        <v>383.64</v>
      </c>
      <c r="H98" s="272">
        <f t="shared" si="30"/>
        <v>383.64</v>
      </c>
      <c r="I98" s="272">
        <f t="shared" si="30"/>
        <v>283.16000000000003</v>
      </c>
      <c r="J98" s="272">
        <f t="shared" si="30"/>
        <v>313.56</v>
      </c>
      <c r="K98" s="272">
        <f t="shared" si="30"/>
        <v>264.63</v>
      </c>
      <c r="L98" s="272">
        <f t="shared" si="30"/>
        <v>259.83</v>
      </c>
      <c r="M98" s="272">
        <f t="shared" si="30"/>
        <v>383.64</v>
      </c>
      <c r="N98" s="272">
        <f t="shared" si="30"/>
        <v>383.64</v>
      </c>
    </row>
    <row r="99" spans="1:14" ht="15">
      <c r="A99" s="8"/>
      <c r="B99" s="8"/>
      <c r="C99" s="2"/>
      <c r="D99" s="232"/>
      <c r="E99" s="232"/>
      <c r="F99" s="232"/>
      <c r="G99" s="232"/>
      <c r="H99" s="232"/>
      <c r="I99" s="232"/>
      <c r="J99" s="232"/>
      <c r="K99" s="232"/>
      <c r="L99" s="232"/>
      <c r="M99" s="232"/>
      <c r="N99" s="232"/>
    </row>
    <row r="100" spans="1:14" ht="18.75">
      <c r="A100" s="625" t="s">
        <v>80</v>
      </c>
      <c r="B100" s="626"/>
      <c r="C100" s="626"/>
      <c r="D100" s="626"/>
      <c r="E100" s="626"/>
      <c r="F100" s="626"/>
      <c r="G100" s="626"/>
      <c r="H100" s="626"/>
      <c r="I100" s="626"/>
      <c r="J100" s="626"/>
      <c r="K100" s="626"/>
      <c r="L100" s="626"/>
      <c r="M100" s="626"/>
      <c r="N100" s="626"/>
    </row>
    <row r="101" spans="1:14" ht="15">
      <c r="A101" s="41">
        <v>5</v>
      </c>
      <c r="B101" s="585" t="s">
        <v>92</v>
      </c>
      <c r="C101" s="586"/>
      <c r="D101" s="247" t="s">
        <v>87</v>
      </c>
      <c r="E101" s="247" t="s">
        <v>87</v>
      </c>
      <c r="F101" s="247" t="s">
        <v>87</v>
      </c>
      <c r="G101" s="247" t="s">
        <v>87</v>
      </c>
      <c r="H101" s="247" t="s">
        <v>87</v>
      </c>
      <c r="I101" s="247" t="s">
        <v>87</v>
      </c>
      <c r="J101" s="247" t="s">
        <v>87</v>
      </c>
      <c r="K101" s="247" t="s">
        <v>87</v>
      </c>
      <c r="L101" s="247" t="s">
        <v>87</v>
      </c>
      <c r="M101" s="247" t="s">
        <v>87</v>
      </c>
      <c r="N101" s="247" t="s">
        <v>87</v>
      </c>
    </row>
    <row r="102" spans="1:14" ht="15">
      <c r="A102" s="40" t="s">
        <v>3</v>
      </c>
      <c r="B102" s="587" t="s">
        <v>157</v>
      </c>
      <c r="C102" s="587"/>
      <c r="D102" s="181"/>
      <c r="E102" s="181">
        <f>Unif_Equip!E12</f>
        <v>66.47</v>
      </c>
      <c r="F102" s="181">
        <f>Unif_Equip!E12</f>
        <v>66.47</v>
      </c>
      <c r="G102" s="181">
        <f>Unif_Equip!E21</f>
        <v>52.96</v>
      </c>
      <c r="H102" s="181">
        <f>Unif_Equip!E12</f>
        <v>66.47</v>
      </c>
      <c r="I102" s="181">
        <f>Unif_Equip!E12</f>
        <v>66.47</v>
      </c>
      <c r="J102" s="181">
        <f>Unif_Equip!E12</f>
        <v>66.47</v>
      </c>
      <c r="K102" s="181">
        <f>Unif_Equip!E12</f>
        <v>66.47</v>
      </c>
      <c r="L102" s="181">
        <f>Unif_Equip!E12</f>
        <v>66.47</v>
      </c>
      <c r="M102" s="181">
        <f>Unif_Equip!E12</f>
        <v>66.47</v>
      </c>
      <c r="N102" s="181">
        <f>Unif_Equip!E30+Unif_Equip!F184</f>
        <v>74.144999999999996</v>
      </c>
    </row>
    <row r="103" spans="1:14" ht="15">
      <c r="A103" s="40" t="s">
        <v>5</v>
      </c>
      <c r="B103" s="587" t="s">
        <v>158</v>
      </c>
      <c r="C103" s="587"/>
      <c r="D103" s="181"/>
      <c r="E103" s="181"/>
      <c r="F103" s="181"/>
      <c r="G103" s="181"/>
      <c r="H103" s="181"/>
      <c r="I103" s="181"/>
      <c r="J103" s="181"/>
      <c r="K103" s="181"/>
      <c r="L103" s="181"/>
      <c r="M103" s="181"/>
      <c r="N103" s="181"/>
    </row>
    <row r="104" spans="1:14" ht="15">
      <c r="A104" s="40" t="s">
        <v>8</v>
      </c>
      <c r="B104" s="588" t="s">
        <v>159</v>
      </c>
      <c r="C104" s="589"/>
      <c r="D104" s="181"/>
      <c r="E104" s="181">
        <f>Unif_Equip!I117</f>
        <v>36.69</v>
      </c>
      <c r="F104" s="181">
        <f>Unif_Equip!I117</f>
        <v>36.69</v>
      </c>
      <c r="G104" s="181">
        <v>0</v>
      </c>
      <c r="H104" s="181">
        <v>0</v>
      </c>
      <c r="I104" s="181">
        <v>0</v>
      </c>
      <c r="J104" s="181">
        <v>0</v>
      </c>
      <c r="K104" s="181">
        <v>0</v>
      </c>
      <c r="L104" s="181">
        <v>0</v>
      </c>
      <c r="M104" s="181">
        <f>Unif_Equip!I109</f>
        <v>13.75</v>
      </c>
      <c r="N104" s="181">
        <f>Unif_Equip!I103</f>
        <v>25.21</v>
      </c>
    </row>
    <row r="105" spans="1:14" ht="15">
      <c r="A105" s="40" t="s">
        <v>12</v>
      </c>
      <c r="B105" s="588" t="s">
        <v>151</v>
      </c>
      <c r="C105" s="589"/>
      <c r="D105" s="181"/>
      <c r="E105" s="181"/>
      <c r="F105" s="181"/>
      <c r="G105" s="181"/>
      <c r="H105" s="181"/>
      <c r="I105" s="181"/>
      <c r="J105" s="181"/>
      <c r="K105" s="181"/>
      <c r="L105" s="181"/>
      <c r="M105" s="181"/>
      <c r="N105" s="181"/>
    </row>
    <row r="106" spans="1:14" ht="15">
      <c r="A106" s="613" t="s">
        <v>41</v>
      </c>
      <c r="B106" s="613"/>
      <c r="C106" s="613"/>
      <c r="D106" s="320">
        <f t="shared" ref="D106:N106" si="31">TRUNC(SUM(D102:D105),2)</f>
        <v>0</v>
      </c>
      <c r="E106" s="320">
        <f t="shared" si="31"/>
        <v>103.16</v>
      </c>
      <c r="F106" s="320">
        <f t="shared" si="31"/>
        <v>103.16</v>
      </c>
      <c r="G106" s="320">
        <f t="shared" si="31"/>
        <v>52.96</v>
      </c>
      <c r="H106" s="320">
        <f t="shared" si="31"/>
        <v>66.47</v>
      </c>
      <c r="I106" s="320">
        <f t="shared" si="31"/>
        <v>66.47</v>
      </c>
      <c r="J106" s="320">
        <f t="shared" si="31"/>
        <v>66.47</v>
      </c>
      <c r="K106" s="320">
        <f t="shared" si="31"/>
        <v>66.47</v>
      </c>
      <c r="L106" s="320">
        <f t="shared" si="31"/>
        <v>66.47</v>
      </c>
      <c r="M106" s="320">
        <f t="shared" si="31"/>
        <v>80.22</v>
      </c>
      <c r="N106" s="320">
        <f t="shared" si="31"/>
        <v>99.35</v>
      </c>
    </row>
    <row r="107" spans="1:14" ht="15">
      <c r="A107" s="8"/>
      <c r="B107" s="8"/>
      <c r="C107" s="2"/>
      <c r="D107" s="3"/>
      <c r="E107" s="3"/>
      <c r="F107" s="3"/>
      <c r="G107" s="3"/>
      <c r="H107" s="3"/>
      <c r="I107" s="3"/>
      <c r="J107" s="3"/>
      <c r="K107" s="3"/>
      <c r="L107" s="3"/>
      <c r="M107" s="3"/>
      <c r="N107" s="3"/>
    </row>
    <row r="108" spans="1:14" ht="18.75">
      <c r="A108" s="614" t="s">
        <v>95</v>
      </c>
      <c r="B108" s="614"/>
      <c r="C108" s="614"/>
      <c r="D108" s="614"/>
      <c r="E108" s="614"/>
      <c r="F108" s="614"/>
      <c r="G108" s="614"/>
      <c r="H108" s="614"/>
      <c r="I108" s="614"/>
      <c r="J108" s="614"/>
      <c r="K108" s="614"/>
      <c r="L108" s="614"/>
      <c r="M108" s="614"/>
      <c r="N108" s="614"/>
    </row>
    <row r="109" spans="1:14" ht="15">
      <c r="A109" s="11">
        <v>6</v>
      </c>
      <c r="B109" s="42" t="s">
        <v>70</v>
      </c>
      <c r="C109" s="230" t="s">
        <v>86</v>
      </c>
      <c r="D109" s="230" t="s">
        <v>87</v>
      </c>
      <c r="E109" s="230" t="s">
        <v>87</v>
      </c>
      <c r="F109" s="230" t="s">
        <v>87</v>
      </c>
      <c r="G109" s="230" t="s">
        <v>87</v>
      </c>
      <c r="H109" s="230" t="s">
        <v>87</v>
      </c>
      <c r="I109" s="230" t="s">
        <v>87</v>
      </c>
      <c r="J109" s="230" t="s">
        <v>87</v>
      </c>
      <c r="K109" s="230" t="s">
        <v>87</v>
      </c>
      <c r="L109" s="230" t="s">
        <v>87</v>
      </c>
      <c r="M109" s="230" t="s">
        <v>87</v>
      </c>
      <c r="N109" s="230" t="s">
        <v>87</v>
      </c>
    </row>
    <row r="110" spans="1:14" ht="15">
      <c r="A110" s="10" t="s">
        <v>3</v>
      </c>
      <c r="B110" s="38" t="s">
        <v>71</v>
      </c>
      <c r="C110" s="269">
        <v>0.03</v>
      </c>
      <c r="D110" s="240">
        <f t="shared" ref="D110:N111" si="32">TRUNC((D$121+D$122+D$123+D$124+D$125)*$C110,2)</f>
        <v>323.85000000000002</v>
      </c>
      <c r="E110" s="240">
        <f t="shared" si="32"/>
        <v>266.26</v>
      </c>
      <c r="F110" s="240">
        <f t="shared" si="32"/>
        <v>266.26</v>
      </c>
      <c r="G110" s="240">
        <f t="shared" si="32"/>
        <v>179.95</v>
      </c>
      <c r="H110" s="240">
        <f t="shared" si="32"/>
        <v>180.36</v>
      </c>
      <c r="I110" s="240">
        <f t="shared" si="32"/>
        <v>134.44</v>
      </c>
      <c r="J110" s="240">
        <f t="shared" si="32"/>
        <v>145.32</v>
      </c>
      <c r="K110" s="240">
        <f t="shared" si="32"/>
        <v>128.04</v>
      </c>
      <c r="L110" s="240">
        <f t="shared" si="32"/>
        <v>137.56</v>
      </c>
      <c r="M110" s="240">
        <f t="shared" si="32"/>
        <v>180.77</v>
      </c>
      <c r="N110" s="240">
        <f t="shared" si="32"/>
        <v>181.34</v>
      </c>
    </row>
    <row r="111" spans="1:14" ht="15">
      <c r="A111" s="10" t="s">
        <v>5</v>
      </c>
      <c r="B111" s="38" t="s">
        <v>72</v>
      </c>
      <c r="C111" s="269">
        <v>6.7900000000000002E-2</v>
      </c>
      <c r="D111" s="240">
        <f t="shared" si="32"/>
        <v>732.99</v>
      </c>
      <c r="E111" s="240">
        <f t="shared" si="32"/>
        <v>602.65</v>
      </c>
      <c r="F111" s="240">
        <f t="shared" si="32"/>
        <v>602.65</v>
      </c>
      <c r="G111" s="240">
        <f t="shared" si="32"/>
        <v>407.3</v>
      </c>
      <c r="H111" s="240">
        <f t="shared" si="32"/>
        <v>408.21</v>
      </c>
      <c r="I111" s="240">
        <f t="shared" si="32"/>
        <v>304.3</v>
      </c>
      <c r="J111" s="240">
        <f t="shared" si="32"/>
        <v>328.92</v>
      </c>
      <c r="K111" s="240">
        <f t="shared" si="32"/>
        <v>289.8</v>
      </c>
      <c r="L111" s="240">
        <f t="shared" si="32"/>
        <v>311.33999999999997</v>
      </c>
      <c r="M111" s="240">
        <f t="shared" si="32"/>
        <v>409.15</v>
      </c>
      <c r="N111" s="240">
        <f t="shared" si="32"/>
        <v>410.44</v>
      </c>
    </row>
    <row r="112" spans="1:14" ht="15">
      <c r="A112" s="11" t="s">
        <v>8</v>
      </c>
      <c r="B112" s="43" t="s">
        <v>73</v>
      </c>
      <c r="C112" s="270">
        <f>TRUNC(SUM(C113:C115),4)</f>
        <v>0.14249999999999999</v>
      </c>
      <c r="D112" s="248"/>
      <c r="E112" s="248"/>
      <c r="F112" s="248"/>
      <c r="G112" s="248"/>
      <c r="H112" s="248"/>
      <c r="I112" s="248"/>
      <c r="J112" s="248"/>
      <c r="K112" s="248"/>
      <c r="L112" s="248"/>
      <c r="M112" s="248"/>
      <c r="N112" s="248"/>
    </row>
    <row r="113" spans="1:14" ht="15">
      <c r="A113" s="10"/>
      <c r="B113" s="38" t="s">
        <v>458</v>
      </c>
      <c r="C113" s="269">
        <f>MC!$C$95</f>
        <v>1.6500000000000001E-2</v>
      </c>
      <c r="D113" s="240">
        <f>TRUNC(((D$126+D$110+D$111)/(1-($C$112)))*$C113,2)</f>
        <v>228.05</v>
      </c>
      <c r="E113" s="240">
        <f t="shared" ref="D113:N113" si="33">TRUNC(((E$126+E$110+E$111)/(1-($C$112)))*$C113,2)</f>
        <v>187.5</v>
      </c>
      <c r="F113" s="240">
        <f t="shared" si="33"/>
        <v>187.5</v>
      </c>
      <c r="G113" s="240">
        <f t="shared" si="33"/>
        <v>126.72</v>
      </c>
      <c r="H113" s="240">
        <f t="shared" si="33"/>
        <v>127</v>
      </c>
      <c r="I113" s="240">
        <f t="shared" si="33"/>
        <v>94.67</v>
      </c>
      <c r="J113" s="240">
        <f t="shared" si="33"/>
        <v>102.33</v>
      </c>
      <c r="K113" s="240">
        <f t="shared" si="33"/>
        <v>90.16</v>
      </c>
      <c r="L113" s="240">
        <f t="shared" si="33"/>
        <v>96.86</v>
      </c>
      <c r="M113" s="240">
        <f t="shared" si="33"/>
        <v>127.29</v>
      </c>
      <c r="N113" s="240">
        <f t="shared" si="33"/>
        <v>127.7</v>
      </c>
    </row>
    <row r="114" spans="1:14" ht="15">
      <c r="A114" s="10"/>
      <c r="B114" s="38" t="s">
        <v>459</v>
      </c>
      <c r="C114" s="269">
        <f>MC!$C$94</f>
        <v>7.5999999999999998E-2</v>
      </c>
      <c r="D114" s="240">
        <f t="shared" ref="D114:N115" si="34">TRUNC(((D$126+D$110+D$111)/(1-($C$112)))*$C114,2)</f>
        <v>1050.44</v>
      </c>
      <c r="E114" s="240">
        <f t="shared" si="34"/>
        <v>863.65</v>
      </c>
      <c r="F114" s="240">
        <f t="shared" si="34"/>
        <v>863.65</v>
      </c>
      <c r="G114" s="240">
        <f t="shared" si="34"/>
        <v>583.69000000000005</v>
      </c>
      <c r="H114" s="240">
        <f t="shared" si="34"/>
        <v>585.01</v>
      </c>
      <c r="I114" s="240">
        <f t="shared" si="34"/>
        <v>436.09</v>
      </c>
      <c r="J114" s="240">
        <f t="shared" si="34"/>
        <v>471.38</v>
      </c>
      <c r="K114" s="240">
        <f t="shared" si="34"/>
        <v>415.31</v>
      </c>
      <c r="L114" s="240">
        <f t="shared" si="34"/>
        <v>446.18</v>
      </c>
      <c r="M114" s="240">
        <f t="shared" si="34"/>
        <v>586.34</v>
      </c>
      <c r="N114" s="240">
        <f t="shared" si="34"/>
        <v>588.20000000000005</v>
      </c>
    </row>
    <row r="115" spans="1:14" ht="15">
      <c r="A115" s="38"/>
      <c r="B115" s="38" t="s">
        <v>460</v>
      </c>
      <c r="C115" s="269">
        <f>MC!$C$93</f>
        <v>0.05</v>
      </c>
      <c r="D115" s="240">
        <f t="shared" si="34"/>
        <v>691.08</v>
      </c>
      <c r="E115" s="240">
        <f t="shared" si="34"/>
        <v>568.19000000000005</v>
      </c>
      <c r="F115" s="240">
        <f t="shared" si="34"/>
        <v>568.19000000000005</v>
      </c>
      <c r="G115" s="240">
        <f t="shared" si="34"/>
        <v>384.01</v>
      </c>
      <c r="H115" s="240">
        <f t="shared" si="34"/>
        <v>384.87</v>
      </c>
      <c r="I115" s="240">
        <f t="shared" si="34"/>
        <v>286.89999999999998</v>
      </c>
      <c r="J115" s="240">
        <f t="shared" si="34"/>
        <v>310.11</v>
      </c>
      <c r="K115" s="240">
        <f t="shared" si="34"/>
        <v>273.23</v>
      </c>
      <c r="L115" s="240">
        <f t="shared" si="34"/>
        <v>293.54000000000002</v>
      </c>
      <c r="M115" s="240">
        <f t="shared" si="34"/>
        <v>385.75</v>
      </c>
      <c r="N115" s="240">
        <f t="shared" si="34"/>
        <v>386.97</v>
      </c>
    </row>
    <row r="116" spans="1:14" ht="15">
      <c r="A116" s="594" t="s">
        <v>75</v>
      </c>
      <c r="B116" s="594"/>
      <c r="C116" s="594"/>
      <c r="D116" s="288">
        <f t="shared" ref="D116:N116" si="35">TRUNC((D110+D111+D113+D114+D115),2)</f>
        <v>3026.41</v>
      </c>
      <c r="E116" s="288">
        <f t="shared" si="35"/>
        <v>2488.25</v>
      </c>
      <c r="F116" s="288">
        <f t="shared" si="35"/>
        <v>2488.25</v>
      </c>
      <c r="G116" s="288">
        <f t="shared" si="35"/>
        <v>1681.67</v>
      </c>
      <c r="H116" s="288">
        <f t="shared" si="35"/>
        <v>1685.45</v>
      </c>
      <c r="I116" s="288">
        <f t="shared" si="35"/>
        <v>1256.4000000000001</v>
      </c>
      <c r="J116" s="288">
        <f t="shared" si="35"/>
        <v>1358.06</v>
      </c>
      <c r="K116" s="288">
        <f t="shared" si="35"/>
        <v>1196.54</v>
      </c>
      <c r="L116" s="288">
        <f t="shared" si="35"/>
        <v>1285.48</v>
      </c>
      <c r="M116" s="288">
        <f t="shared" si="35"/>
        <v>1689.3</v>
      </c>
      <c r="N116" s="288">
        <f t="shared" si="35"/>
        <v>1694.65</v>
      </c>
    </row>
    <row r="117" spans="1:14" ht="15">
      <c r="A117" s="33"/>
      <c r="B117" s="33"/>
      <c r="C117" s="255"/>
      <c r="D117" s="3"/>
      <c r="E117" s="3"/>
      <c r="F117" s="3"/>
      <c r="G117" s="3"/>
      <c r="H117" s="3"/>
      <c r="I117" s="3"/>
      <c r="J117" s="3"/>
      <c r="K117" s="3"/>
      <c r="L117" s="3"/>
      <c r="M117" s="3"/>
      <c r="N117" s="3"/>
    </row>
    <row r="118" spans="1:14" ht="21">
      <c r="A118" s="615" t="s">
        <v>76</v>
      </c>
      <c r="B118" s="615"/>
      <c r="C118" s="615"/>
      <c r="D118" s="615"/>
      <c r="E118" s="615"/>
      <c r="F118" s="615"/>
      <c r="G118" s="615"/>
      <c r="H118" s="615"/>
      <c r="I118" s="615"/>
      <c r="J118" s="615"/>
      <c r="K118" s="615"/>
      <c r="L118" s="615"/>
      <c r="M118" s="615"/>
      <c r="N118" s="615"/>
    </row>
    <row r="119" spans="1:14" ht="30">
      <c r="A119" s="616" t="s">
        <v>77</v>
      </c>
      <c r="B119" s="617"/>
      <c r="C119" s="618"/>
      <c r="D119" s="301" t="s">
        <v>471</v>
      </c>
      <c r="E119" s="301" t="s">
        <v>222</v>
      </c>
      <c r="F119" s="301" t="s">
        <v>472</v>
      </c>
      <c r="G119" s="301" t="s">
        <v>473</v>
      </c>
      <c r="H119" s="301" t="s">
        <v>223</v>
      </c>
      <c r="I119" s="301" t="s">
        <v>224</v>
      </c>
      <c r="J119" s="301" t="s">
        <v>225</v>
      </c>
      <c r="K119" s="301" t="s">
        <v>226</v>
      </c>
      <c r="L119" s="301" t="s">
        <v>227</v>
      </c>
      <c r="M119" s="301" t="s">
        <v>228</v>
      </c>
      <c r="N119" s="301" t="s">
        <v>307</v>
      </c>
    </row>
    <row r="120" spans="1:14" ht="15" customHeight="1">
      <c r="A120" s="619"/>
      <c r="B120" s="620"/>
      <c r="C120" s="621"/>
      <c r="D120" s="230" t="s">
        <v>87</v>
      </c>
      <c r="E120" s="230" t="s">
        <v>87</v>
      </c>
      <c r="F120" s="230" t="s">
        <v>87</v>
      </c>
      <c r="G120" s="230" t="s">
        <v>87</v>
      </c>
      <c r="H120" s="230" t="s">
        <v>87</v>
      </c>
      <c r="I120" s="230" t="s">
        <v>87</v>
      </c>
      <c r="J120" s="230" t="s">
        <v>87</v>
      </c>
      <c r="K120" s="230" t="s">
        <v>87</v>
      </c>
      <c r="L120" s="230" t="s">
        <v>87</v>
      </c>
      <c r="M120" s="230" t="s">
        <v>87</v>
      </c>
      <c r="N120" s="230" t="s">
        <v>87</v>
      </c>
    </row>
    <row r="121" spans="1:14" ht="15">
      <c r="A121" s="281" t="s">
        <v>3</v>
      </c>
      <c r="B121" s="599" t="s">
        <v>78</v>
      </c>
      <c r="C121" s="599"/>
      <c r="D121" s="282">
        <f t="shared" ref="D121:N121" si="36">TRUNC(D27,2)</f>
        <v>5398.14</v>
      </c>
      <c r="E121" s="282">
        <f t="shared" si="36"/>
        <v>4220.33</v>
      </c>
      <c r="F121" s="282">
        <f t="shared" si="36"/>
        <v>4220.33</v>
      </c>
      <c r="G121" s="282">
        <f t="shared" si="36"/>
        <v>2574.38</v>
      </c>
      <c r="H121" s="282">
        <f t="shared" si="36"/>
        <v>2574.38</v>
      </c>
      <c r="I121" s="282">
        <f t="shared" si="36"/>
        <v>1900.2</v>
      </c>
      <c r="J121" s="282">
        <f t="shared" si="36"/>
        <v>2104.25</v>
      </c>
      <c r="K121" s="282">
        <f t="shared" si="36"/>
        <v>1775.88</v>
      </c>
      <c r="L121" s="282">
        <f t="shared" si="36"/>
        <v>1743.69</v>
      </c>
      <c r="M121" s="282">
        <f t="shared" si="36"/>
        <v>2574.37</v>
      </c>
      <c r="N121" s="282">
        <f t="shared" si="36"/>
        <v>2574.37</v>
      </c>
    </row>
    <row r="122" spans="1:14" ht="15">
      <c r="A122" s="278" t="s">
        <v>5</v>
      </c>
      <c r="B122" s="600" t="s">
        <v>79</v>
      </c>
      <c r="C122" s="600"/>
      <c r="D122" s="283">
        <f t="shared" ref="D122:N122" si="37">TRUNC(D65,2)</f>
        <v>4187.24</v>
      </c>
      <c r="E122" s="283">
        <f t="shared" si="37"/>
        <v>3606.21</v>
      </c>
      <c r="F122" s="283">
        <f t="shared" si="37"/>
        <v>3606.21</v>
      </c>
      <c r="G122" s="283">
        <f t="shared" si="37"/>
        <v>2794.22</v>
      </c>
      <c r="H122" s="283">
        <f t="shared" si="37"/>
        <v>2794.22</v>
      </c>
      <c r="I122" s="283">
        <f t="shared" si="37"/>
        <v>2089.11</v>
      </c>
      <c r="J122" s="283">
        <f t="shared" si="37"/>
        <v>2202</v>
      </c>
      <c r="K122" s="283">
        <f t="shared" si="37"/>
        <v>2027.76</v>
      </c>
      <c r="L122" s="283">
        <f t="shared" si="37"/>
        <v>2384.4299999999998</v>
      </c>
      <c r="M122" s="283">
        <f t="shared" si="37"/>
        <v>2794.21</v>
      </c>
      <c r="N122" s="283">
        <f t="shared" si="37"/>
        <v>2794.21</v>
      </c>
    </row>
    <row r="123" spans="1:14" ht="15">
      <c r="A123" s="275" t="s">
        <v>8</v>
      </c>
      <c r="B123" s="601" t="s">
        <v>49</v>
      </c>
      <c r="C123" s="601"/>
      <c r="D123" s="284">
        <f t="shared" ref="D123:N123" si="38">TRUNC(D75,2)</f>
        <v>405.43</v>
      </c>
      <c r="E123" s="284">
        <f t="shared" si="38"/>
        <v>316.95999999999998</v>
      </c>
      <c r="F123" s="284">
        <f t="shared" si="38"/>
        <v>316.95999999999998</v>
      </c>
      <c r="G123" s="284">
        <f t="shared" si="38"/>
        <v>193.34</v>
      </c>
      <c r="H123" s="284">
        <f t="shared" si="38"/>
        <v>193.34</v>
      </c>
      <c r="I123" s="284">
        <f t="shared" si="38"/>
        <v>142.71</v>
      </c>
      <c r="J123" s="284">
        <f t="shared" si="38"/>
        <v>158.03</v>
      </c>
      <c r="K123" s="284">
        <f t="shared" si="38"/>
        <v>133.36000000000001</v>
      </c>
      <c r="L123" s="284">
        <f t="shared" si="38"/>
        <v>130.94</v>
      </c>
      <c r="M123" s="284">
        <f t="shared" si="38"/>
        <v>193.34</v>
      </c>
      <c r="N123" s="284">
        <f t="shared" si="38"/>
        <v>193.34</v>
      </c>
    </row>
    <row r="124" spans="1:14" ht="15">
      <c r="A124" s="271" t="s">
        <v>10</v>
      </c>
      <c r="B124" s="602" t="s">
        <v>55</v>
      </c>
      <c r="C124" s="602"/>
      <c r="D124" s="285">
        <f t="shared" ref="D124:N124" si="39">TRUNC(D98,2)</f>
        <v>804.45</v>
      </c>
      <c r="E124" s="285">
        <f t="shared" si="39"/>
        <v>628.92999999999995</v>
      </c>
      <c r="F124" s="285">
        <f t="shared" si="39"/>
        <v>628.92999999999995</v>
      </c>
      <c r="G124" s="285">
        <f t="shared" si="39"/>
        <v>383.64</v>
      </c>
      <c r="H124" s="285">
        <f t="shared" si="39"/>
        <v>383.64</v>
      </c>
      <c r="I124" s="285">
        <f t="shared" si="39"/>
        <v>283.16000000000003</v>
      </c>
      <c r="J124" s="285">
        <f t="shared" si="39"/>
        <v>313.56</v>
      </c>
      <c r="K124" s="285">
        <f t="shared" si="39"/>
        <v>264.63</v>
      </c>
      <c r="L124" s="285">
        <f t="shared" si="39"/>
        <v>259.83</v>
      </c>
      <c r="M124" s="285">
        <f t="shared" si="39"/>
        <v>383.64</v>
      </c>
      <c r="N124" s="285">
        <f t="shared" si="39"/>
        <v>383.64</v>
      </c>
    </row>
    <row r="125" spans="1:14" ht="15">
      <c r="A125" s="321" t="s">
        <v>12</v>
      </c>
      <c r="B125" s="603" t="s">
        <v>80</v>
      </c>
      <c r="C125" s="603"/>
      <c r="D125" s="322">
        <f t="shared" ref="D125:N125" si="40">TRUNC(D106,2)</f>
        <v>0</v>
      </c>
      <c r="E125" s="322">
        <f t="shared" si="40"/>
        <v>103.16</v>
      </c>
      <c r="F125" s="322">
        <f t="shared" si="40"/>
        <v>103.16</v>
      </c>
      <c r="G125" s="322">
        <f t="shared" si="40"/>
        <v>52.96</v>
      </c>
      <c r="H125" s="322">
        <f t="shared" si="40"/>
        <v>66.47</v>
      </c>
      <c r="I125" s="322">
        <f t="shared" si="40"/>
        <v>66.47</v>
      </c>
      <c r="J125" s="322">
        <f t="shared" si="40"/>
        <v>66.47</v>
      </c>
      <c r="K125" s="322">
        <f t="shared" si="40"/>
        <v>66.47</v>
      </c>
      <c r="L125" s="322">
        <f t="shared" si="40"/>
        <v>66.47</v>
      </c>
      <c r="M125" s="322">
        <f t="shared" si="40"/>
        <v>80.22</v>
      </c>
      <c r="N125" s="322">
        <f t="shared" si="40"/>
        <v>99.35</v>
      </c>
    </row>
    <row r="126" spans="1:14" ht="15">
      <c r="A126" s="581" t="s">
        <v>81</v>
      </c>
      <c r="B126" s="581"/>
      <c r="C126" s="581"/>
      <c r="D126" s="236">
        <f t="shared" ref="D126:N126" si="41">TRUNC(SUM(D121:D125),2)</f>
        <v>10795.26</v>
      </c>
      <c r="E126" s="236">
        <f t="shared" si="41"/>
        <v>8875.59</v>
      </c>
      <c r="F126" s="236">
        <f t="shared" si="41"/>
        <v>8875.59</v>
      </c>
      <c r="G126" s="236">
        <f t="shared" si="41"/>
        <v>5998.54</v>
      </c>
      <c r="H126" s="236">
        <f t="shared" si="41"/>
        <v>6012.05</v>
      </c>
      <c r="I126" s="236">
        <f t="shared" si="41"/>
        <v>4481.6499999999996</v>
      </c>
      <c r="J126" s="236">
        <f t="shared" si="41"/>
        <v>4844.3100000000004</v>
      </c>
      <c r="K126" s="236">
        <f t="shared" si="41"/>
        <v>4268.1000000000004</v>
      </c>
      <c r="L126" s="236">
        <f t="shared" si="41"/>
        <v>4585.3599999999997</v>
      </c>
      <c r="M126" s="236">
        <f t="shared" si="41"/>
        <v>6025.78</v>
      </c>
      <c r="N126" s="236">
        <f t="shared" si="41"/>
        <v>6044.91</v>
      </c>
    </row>
    <row r="127" spans="1:14" ht="15">
      <c r="A127" s="286" t="s">
        <v>21</v>
      </c>
      <c r="B127" s="593" t="s">
        <v>82</v>
      </c>
      <c r="C127" s="593"/>
      <c r="D127" s="287">
        <f t="shared" ref="D127:N127" si="42">TRUNC(D116,2)</f>
        <v>3026.41</v>
      </c>
      <c r="E127" s="287">
        <f t="shared" si="42"/>
        <v>2488.25</v>
      </c>
      <c r="F127" s="287">
        <f t="shared" si="42"/>
        <v>2488.25</v>
      </c>
      <c r="G127" s="287">
        <f t="shared" si="42"/>
        <v>1681.67</v>
      </c>
      <c r="H127" s="287">
        <f t="shared" si="42"/>
        <v>1685.45</v>
      </c>
      <c r="I127" s="287">
        <f t="shared" si="42"/>
        <v>1256.4000000000001</v>
      </c>
      <c r="J127" s="287">
        <f t="shared" si="42"/>
        <v>1358.06</v>
      </c>
      <c r="K127" s="287">
        <f t="shared" si="42"/>
        <v>1196.54</v>
      </c>
      <c r="L127" s="287">
        <f t="shared" si="42"/>
        <v>1285.48</v>
      </c>
      <c r="M127" s="287">
        <f t="shared" si="42"/>
        <v>1689.3</v>
      </c>
      <c r="N127" s="287">
        <f t="shared" si="42"/>
        <v>1694.65</v>
      </c>
    </row>
    <row r="128" spans="1:14" s="474" customFormat="1" ht="18.75">
      <c r="A128" s="604" t="s">
        <v>83</v>
      </c>
      <c r="B128" s="604"/>
      <c r="C128" s="604"/>
      <c r="D128" s="292">
        <f t="shared" ref="D128:N128" si="43">TRUNC(D126+D127,2)</f>
        <v>13821.67</v>
      </c>
      <c r="E128" s="292">
        <f t="shared" si="43"/>
        <v>11363.84</v>
      </c>
      <c r="F128" s="292">
        <f t="shared" si="43"/>
        <v>11363.84</v>
      </c>
      <c r="G128" s="292">
        <f t="shared" si="43"/>
        <v>7680.21</v>
      </c>
      <c r="H128" s="292">
        <f t="shared" si="43"/>
        <v>7697.5</v>
      </c>
      <c r="I128" s="292">
        <f t="shared" si="43"/>
        <v>5738.05</v>
      </c>
      <c r="J128" s="292">
        <f t="shared" si="43"/>
        <v>6202.37</v>
      </c>
      <c r="K128" s="292">
        <f t="shared" si="43"/>
        <v>5464.64</v>
      </c>
      <c r="L128" s="292">
        <f t="shared" si="43"/>
        <v>5870.84</v>
      </c>
      <c r="M128" s="292">
        <f t="shared" si="43"/>
        <v>7715.08</v>
      </c>
      <c r="N128" s="292">
        <f t="shared" si="43"/>
        <v>7739.56</v>
      </c>
    </row>
    <row r="129" spans="1:14" ht="18.75">
      <c r="A129" s="747" t="s">
        <v>494</v>
      </c>
      <c r="B129" s="747"/>
      <c r="C129" s="747"/>
      <c r="D129" s="748">
        <f>D128</f>
        <v>13821.67</v>
      </c>
      <c r="E129" s="748">
        <f t="shared" ref="E129:N129" si="44">E128</f>
        <v>11363.84</v>
      </c>
      <c r="F129" s="748">
        <f t="shared" si="44"/>
        <v>11363.84</v>
      </c>
      <c r="G129" s="748">
        <f t="shared" si="44"/>
        <v>7680.21</v>
      </c>
      <c r="H129" s="748">
        <f t="shared" si="44"/>
        <v>7697.5</v>
      </c>
      <c r="I129" s="748">
        <f>I128*2</f>
        <v>11476.1</v>
      </c>
      <c r="J129" s="748">
        <f t="shared" ref="J129:K129" si="45">J128*2</f>
        <v>12404.74</v>
      </c>
      <c r="K129" s="748">
        <f t="shared" si="45"/>
        <v>10929.28</v>
      </c>
      <c r="L129" s="748">
        <f t="shared" si="44"/>
        <v>5870.84</v>
      </c>
      <c r="M129" s="748">
        <f t="shared" si="44"/>
        <v>7715.08</v>
      </c>
      <c r="N129" s="748">
        <f t="shared" si="44"/>
        <v>7739.56</v>
      </c>
    </row>
    <row r="130" spans="1:14" ht="15">
      <c r="M130" s="328" t="s">
        <v>486</v>
      </c>
    </row>
    <row r="131" spans="1:14" ht="15">
      <c r="A131" s="183"/>
      <c r="D131" s="250"/>
      <c r="E131" s="250"/>
      <c r="F131" s="250"/>
      <c r="G131" s="250"/>
      <c r="H131" s="250"/>
      <c r="I131" s="250"/>
      <c r="J131" s="250"/>
      <c r="K131" s="250"/>
      <c r="L131" s="250"/>
      <c r="M131" s="327" t="s">
        <v>487</v>
      </c>
      <c r="N131" s="250"/>
    </row>
    <row r="132" spans="1:14" ht="15">
      <c r="M132" s="329">
        <f>M128/30</f>
        <v>257.16933333333333</v>
      </c>
    </row>
  </sheetData>
  <sheetProtection selectLockedCells="1" selectUnlockedCells="1"/>
  <mergeCells count="61">
    <mergeCell ref="A129:C129"/>
    <mergeCell ref="B102:C102"/>
    <mergeCell ref="B103:C103"/>
    <mergeCell ref="B104:C104"/>
    <mergeCell ref="A92:B92"/>
    <mergeCell ref="B95:C95"/>
    <mergeCell ref="B96:C96"/>
    <mergeCell ref="B97:C97"/>
    <mergeCell ref="A98:C98"/>
    <mergeCell ref="B101:C101"/>
    <mergeCell ref="A100:N100"/>
    <mergeCell ref="A89:N89"/>
    <mergeCell ref="A94:N94"/>
    <mergeCell ref="A75:B75"/>
    <mergeCell ref="A85:B85"/>
    <mergeCell ref="A77:N77"/>
    <mergeCell ref="A78:N78"/>
    <mergeCell ref="A87:B87"/>
    <mergeCell ref="B121:C121"/>
    <mergeCell ref="B122:C122"/>
    <mergeCell ref="B123:C123"/>
    <mergeCell ref="B105:C105"/>
    <mergeCell ref="A106:C106"/>
    <mergeCell ref="A116:C116"/>
    <mergeCell ref="A108:N108"/>
    <mergeCell ref="A118:N118"/>
    <mergeCell ref="A119:C120"/>
    <mergeCell ref="A30:N30"/>
    <mergeCell ref="A38:N38"/>
    <mergeCell ref="A50:N50"/>
    <mergeCell ref="A60:N60"/>
    <mergeCell ref="A67:N67"/>
    <mergeCell ref="B51:C51"/>
    <mergeCell ref="A58:C58"/>
    <mergeCell ref="B61:C61"/>
    <mergeCell ref="B62:C62"/>
    <mergeCell ref="A34:B34"/>
    <mergeCell ref="A36:B36"/>
    <mergeCell ref="A48:B48"/>
    <mergeCell ref="B63:C63"/>
    <mergeCell ref="B64:C64"/>
    <mergeCell ref="A65:C65"/>
    <mergeCell ref="A1:N1"/>
    <mergeCell ref="A6:N6"/>
    <mergeCell ref="A14:N14"/>
    <mergeCell ref="A20:N20"/>
    <mergeCell ref="A29:N29"/>
    <mergeCell ref="B18:C18"/>
    <mergeCell ref="A27:C27"/>
    <mergeCell ref="A3:B3"/>
    <mergeCell ref="C3:D3"/>
    <mergeCell ref="A4:B4"/>
    <mergeCell ref="C4:D4"/>
    <mergeCell ref="B15:C15"/>
    <mergeCell ref="B16:C16"/>
    <mergeCell ref="B17:C17"/>
    <mergeCell ref="B125:C125"/>
    <mergeCell ref="A126:C126"/>
    <mergeCell ref="B127:C127"/>
    <mergeCell ref="A128:C128"/>
    <mergeCell ref="B124:C124"/>
  </mergeCells>
  <phoneticPr fontId="49" type="noConversion"/>
  <conditionalFormatting sqref="D52:N52">
    <cfRule type="cellIs" dxfId="7" priority="1" operator="lessThan">
      <formula>0</formula>
    </cfRule>
  </conditionalFormatting>
  <pageMargins left="0.19685039370078741" right="0.19685039370078741" top="0.98425196850393704" bottom="0.78740157480314965" header="0.31496062992125984" footer="0.31496062992125984"/>
  <pageSetup paperSize="9" scale="37" firstPageNumber="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CEFEE-1600-43DA-AE8D-51C885A2BD13}">
  <sheetPr>
    <tabColor rgb="FF92D050"/>
    <pageSetUpPr fitToPage="1"/>
  </sheetPr>
  <dimension ref="A1:E131"/>
  <sheetViews>
    <sheetView view="pageBreakPreview" topLeftCell="A25" zoomScale="115" zoomScaleNormal="100" zoomScaleSheetLayoutView="115" workbookViewId="0">
      <pane ySplit="1" topLeftCell="A101" activePane="bottomLeft"/>
      <selection activeCell="A7" sqref="A7"/>
      <selection pane="bottomLeft" activeCell="E128" sqref="E128"/>
    </sheetView>
  </sheetViews>
  <sheetFormatPr defaultRowHeight="12"/>
  <cols>
    <col min="1" max="1" width="6.28515625" style="1" customWidth="1"/>
    <col min="2" max="2" width="56.5703125" style="1" customWidth="1"/>
    <col min="3" max="3" width="15.7109375" style="249" customWidth="1"/>
    <col min="4" max="5" width="22.5703125" style="249" customWidth="1"/>
    <col min="6" max="16384" width="9.140625" style="1"/>
  </cols>
  <sheetData>
    <row r="1" spans="1:5" ht="26.25" customHeight="1">
      <c r="A1" s="552" t="s">
        <v>1</v>
      </c>
      <c r="B1" s="552"/>
      <c r="C1" s="552"/>
      <c r="D1" s="552"/>
      <c r="E1" s="552"/>
    </row>
    <row r="2" spans="1:5" ht="6.75" customHeight="1">
      <c r="A2" s="4"/>
      <c r="B2" s="4"/>
      <c r="C2" s="4"/>
      <c r="D2" s="5"/>
      <c r="E2" s="5"/>
    </row>
    <row r="3" spans="1:5" ht="15">
      <c r="A3" s="553" t="s">
        <v>388</v>
      </c>
      <c r="B3" s="554"/>
      <c r="C3" s="628" t="s">
        <v>371</v>
      </c>
      <c r="D3" s="628"/>
      <c r="E3" s="628"/>
    </row>
    <row r="4" spans="1:5" ht="15">
      <c r="A4" s="553" t="s">
        <v>389</v>
      </c>
      <c r="B4" s="554"/>
      <c r="C4" s="629"/>
      <c r="D4" s="629"/>
      <c r="E4" s="629"/>
    </row>
    <row r="5" spans="1:5" ht="12" customHeight="1">
      <c r="A5" s="6"/>
      <c r="B5" s="6"/>
      <c r="C5" s="2"/>
      <c r="D5" s="3"/>
      <c r="E5" s="3"/>
    </row>
    <row r="6" spans="1:5" ht="18.75">
      <c r="A6" s="605" t="s">
        <v>2</v>
      </c>
      <c r="B6" s="605"/>
      <c r="C6" s="605"/>
      <c r="D6" s="605"/>
      <c r="E6" s="605"/>
    </row>
    <row r="7" spans="1:5" ht="15">
      <c r="A7" s="40" t="s">
        <v>3</v>
      </c>
      <c r="B7" s="220" t="s">
        <v>4</v>
      </c>
      <c r="C7" s="310"/>
      <c r="D7" s="311"/>
      <c r="E7" s="311"/>
    </row>
    <row r="8" spans="1:5" ht="13.5" customHeight="1">
      <c r="A8" s="40" t="s">
        <v>5</v>
      </c>
      <c r="B8" s="220" t="s">
        <v>6</v>
      </c>
      <c r="C8" s="310"/>
      <c r="D8" s="312" t="s">
        <v>725</v>
      </c>
      <c r="E8" s="312" t="s">
        <v>725</v>
      </c>
    </row>
    <row r="9" spans="1:5" ht="25.5">
      <c r="A9" s="40" t="s">
        <v>8</v>
      </c>
      <c r="B9" s="220" t="s">
        <v>9</v>
      </c>
      <c r="C9" s="303"/>
      <c r="D9" s="473" t="s">
        <v>736</v>
      </c>
      <c r="E9" s="473" t="s">
        <v>736</v>
      </c>
    </row>
    <row r="10" spans="1:5" ht="15">
      <c r="A10" s="40" t="s">
        <v>10</v>
      </c>
      <c r="B10" s="220" t="s">
        <v>11</v>
      </c>
      <c r="C10" s="310"/>
      <c r="D10" s="253"/>
      <c r="E10" s="253"/>
    </row>
    <row r="11" spans="1:5" ht="15">
      <c r="A11" s="40" t="s">
        <v>12</v>
      </c>
      <c r="B11" s="220" t="s">
        <v>147</v>
      </c>
      <c r="C11" s="253"/>
      <c r="D11" s="253"/>
      <c r="E11" s="253"/>
    </row>
    <row r="12" spans="1:5" ht="15">
      <c r="A12" s="40" t="s">
        <v>21</v>
      </c>
      <c r="B12" s="220" t="s">
        <v>13</v>
      </c>
      <c r="C12" s="310"/>
      <c r="D12" s="313">
        <f>MC!$D$60</f>
        <v>20.98</v>
      </c>
      <c r="E12" s="313">
        <f>MC!$D$60</f>
        <v>20.98</v>
      </c>
    </row>
    <row r="13" spans="1:5" ht="9.75" customHeight="1">
      <c r="A13" s="33"/>
      <c r="B13" s="33"/>
      <c r="C13" s="255"/>
      <c r="D13" s="3"/>
      <c r="E13" s="3"/>
    </row>
    <row r="14" spans="1:5" ht="18.75">
      <c r="A14" s="605" t="s">
        <v>14</v>
      </c>
      <c r="B14" s="605"/>
      <c r="C14" s="605"/>
      <c r="D14" s="605"/>
      <c r="E14" s="605"/>
    </row>
    <row r="15" spans="1:5" ht="15">
      <c r="A15" s="40">
        <v>1</v>
      </c>
      <c r="B15" s="550" t="s">
        <v>15</v>
      </c>
      <c r="C15" s="550"/>
      <c r="D15" s="301" t="s">
        <v>223</v>
      </c>
      <c r="E15" s="301" t="s">
        <v>227</v>
      </c>
    </row>
    <row r="16" spans="1:5" ht="15">
      <c r="A16" s="40">
        <v>2</v>
      </c>
      <c r="B16" s="550" t="s">
        <v>16</v>
      </c>
      <c r="C16" s="550"/>
      <c r="D16" s="315"/>
      <c r="E16" s="315"/>
    </row>
    <row r="17" spans="1:5" ht="15">
      <c r="A17" s="40">
        <v>3</v>
      </c>
      <c r="B17" s="551" t="s">
        <v>17</v>
      </c>
      <c r="C17" s="551"/>
      <c r="D17" s="316">
        <v>1864.72</v>
      </c>
      <c r="E17" s="316">
        <v>1729.04</v>
      </c>
    </row>
    <row r="18" spans="1:5" ht="15">
      <c r="A18" s="40">
        <v>4</v>
      </c>
      <c r="B18" s="550" t="s">
        <v>18</v>
      </c>
      <c r="C18" s="550"/>
      <c r="D18" s="317">
        <v>45658</v>
      </c>
      <c r="E18" s="317">
        <v>45658</v>
      </c>
    </row>
    <row r="19" spans="1:5" ht="15">
      <c r="A19" s="14"/>
      <c r="B19" s="14"/>
      <c r="C19" s="229"/>
      <c r="D19" s="229"/>
      <c r="E19" s="229"/>
    </row>
    <row r="20" spans="1:5" ht="18.75">
      <c r="A20" s="606" t="s">
        <v>93</v>
      </c>
      <c r="B20" s="606"/>
      <c r="C20" s="606"/>
      <c r="D20" s="606"/>
      <c r="E20" s="606"/>
    </row>
    <row r="21" spans="1:5" ht="15">
      <c r="A21" s="11">
        <v>1</v>
      </c>
      <c r="B21" s="11" t="s">
        <v>19</v>
      </c>
      <c r="C21" s="256" t="s">
        <v>86</v>
      </c>
      <c r="D21" s="230" t="s">
        <v>87</v>
      </c>
      <c r="E21" s="230" t="s">
        <v>87</v>
      </c>
    </row>
    <row r="22" spans="1:5" ht="15">
      <c r="A22" s="10" t="s">
        <v>3</v>
      </c>
      <c r="B22" s="20" t="s">
        <v>20</v>
      </c>
      <c r="C22" s="257">
        <v>1</v>
      </c>
      <c r="D22" s="185">
        <f t="shared" ref="D22:E22" si="0">D17</f>
        <v>1864.72</v>
      </c>
      <c r="E22" s="185">
        <f t="shared" si="0"/>
        <v>1729.04</v>
      </c>
    </row>
    <row r="23" spans="1:5" ht="15">
      <c r="A23" s="12" t="s">
        <v>5</v>
      </c>
      <c r="B23" s="13" t="s">
        <v>152</v>
      </c>
      <c r="C23" s="257">
        <v>0</v>
      </c>
      <c r="D23" s="184"/>
      <c r="E23" s="184"/>
    </row>
    <row r="24" spans="1:5" ht="15">
      <c r="A24" s="12" t="s">
        <v>8</v>
      </c>
      <c r="B24" s="13" t="s">
        <v>153</v>
      </c>
      <c r="C24" s="257">
        <v>0</v>
      </c>
      <c r="D24" s="184"/>
      <c r="E24" s="184"/>
    </row>
    <row r="25" spans="1:5" ht="15">
      <c r="A25" s="10" t="s">
        <v>10</v>
      </c>
      <c r="B25" s="20" t="s">
        <v>154</v>
      </c>
      <c r="C25" s="257">
        <v>0.22500000000000001</v>
      </c>
      <c r="D25" s="185"/>
      <c r="E25" s="185"/>
    </row>
    <row r="26" spans="1:5" ht="15">
      <c r="A26" s="10" t="s">
        <v>12</v>
      </c>
      <c r="B26" s="20" t="s">
        <v>229</v>
      </c>
      <c r="C26" s="257">
        <v>0</v>
      </c>
      <c r="D26" s="185"/>
      <c r="E26" s="185"/>
    </row>
    <row r="27" spans="1:5" ht="15">
      <c r="A27" s="564" t="s">
        <v>84</v>
      </c>
      <c r="B27" s="565"/>
      <c r="C27" s="566"/>
      <c r="D27" s="280">
        <f t="shared" ref="D27:E27" si="1">TRUNC(SUM(D22:D26),2)</f>
        <v>1864.72</v>
      </c>
      <c r="E27" s="280">
        <f t="shared" si="1"/>
        <v>1729.04</v>
      </c>
    </row>
    <row r="28" spans="1:5" ht="15">
      <c r="A28" s="8"/>
      <c r="B28" s="8"/>
      <c r="C28" s="2"/>
      <c r="D28" s="232"/>
      <c r="E28" s="232"/>
    </row>
    <row r="29" spans="1:5" ht="18.75">
      <c r="A29" s="607" t="s">
        <v>94</v>
      </c>
      <c r="B29" s="607"/>
      <c r="C29" s="607"/>
      <c r="D29" s="607"/>
      <c r="E29" s="607"/>
    </row>
    <row r="30" spans="1:5" ht="18.75">
      <c r="A30" s="608" t="s">
        <v>23</v>
      </c>
      <c r="B30" s="608"/>
      <c r="C30" s="608"/>
      <c r="D30" s="608"/>
      <c r="E30" s="608"/>
    </row>
    <row r="31" spans="1:5" ht="15">
      <c r="A31" s="24" t="s">
        <v>24</v>
      </c>
      <c r="B31" s="24" t="s">
        <v>25</v>
      </c>
      <c r="C31" s="230" t="s">
        <v>86</v>
      </c>
      <c r="D31" s="256" t="s">
        <v>87</v>
      </c>
      <c r="E31" s="256" t="s">
        <v>87</v>
      </c>
    </row>
    <row r="32" spans="1:5" ht="15">
      <c r="A32" s="40" t="s">
        <v>3</v>
      </c>
      <c r="B32" s="38" t="s">
        <v>26</v>
      </c>
      <c r="C32" s="266">
        <v>8.3299999999999999E-2</v>
      </c>
      <c r="D32" s="240">
        <f t="shared" ref="D32:E33" si="2">TRUNC(D$27*$C32,2)</f>
        <v>155.33000000000001</v>
      </c>
      <c r="E32" s="240">
        <f t="shared" si="2"/>
        <v>144.02000000000001</v>
      </c>
    </row>
    <row r="33" spans="1:5" ht="15">
      <c r="A33" s="40" t="s">
        <v>5</v>
      </c>
      <c r="B33" s="38" t="s">
        <v>27</v>
      </c>
      <c r="C33" s="266">
        <v>2.7799999999999998E-2</v>
      </c>
      <c r="D33" s="240">
        <f t="shared" si="2"/>
        <v>51.83</v>
      </c>
      <c r="E33" s="240">
        <f t="shared" si="2"/>
        <v>48.06</v>
      </c>
    </row>
    <row r="34" spans="1:5" ht="15">
      <c r="A34" s="569" t="s">
        <v>85</v>
      </c>
      <c r="B34" s="569"/>
      <c r="C34" s="260">
        <f>TRUNC(SUM(C32:C33),5)</f>
        <v>0.1111</v>
      </c>
      <c r="D34" s="236">
        <f t="shared" ref="D34:E34" si="3">TRUNC(SUM(D32:D33),2)</f>
        <v>207.16</v>
      </c>
      <c r="E34" s="236">
        <f t="shared" si="3"/>
        <v>192.08</v>
      </c>
    </row>
    <row r="35" spans="1:5" ht="30">
      <c r="A35" s="40" t="s">
        <v>8</v>
      </c>
      <c r="B35" s="38" t="s">
        <v>218</v>
      </c>
      <c r="C35" s="266">
        <f>C34*C48</f>
        <v>4.4217800000000002E-2</v>
      </c>
      <c r="D35" s="240">
        <f t="shared" ref="D35:E35" si="4">TRUNC(D$27*$C35,2)</f>
        <v>82.45</v>
      </c>
      <c r="E35" s="240">
        <f t="shared" si="4"/>
        <v>76.45</v>
      </c>
    </row>
    <row r="36" spans="1:5" ht="15">
      <c r="A36" s="569" t="s">
        <v>28</v>
      </c>
      <c r="B36" s="569"/>
      <c r="C36" s="260">
        <f>TRUNC(SUM(C34:C35),5)</f>
        <v>0.15531</v>
      </c>
      <c r="D36" s="236">
        <f t="shared" ref="D36:E36" si="5">TRUNC(SUM(D34:D35),2)</f>
        <v>289.61</v>
      </c>
      <c r="E36" s="236">
        <f t="shared" si="5"/>
        <v>268.52999999999997</v>
      </c>
    </row>
    <row r="37" spans="1:5" ht="7.5" customHeight="1">
      <c r="A37" s="14"/>
      <c r="B37" s="14"/>
      <c r="C37" s="229"/>
      <c r="D37" s="229"/>
      <c r="E37" s="229"/>
    </row>
    <row r="38" spans="1:5" ht="18.75">
      <c r="A38" s="609" t="s">
        <v>29</v>
      </c>
      <c r="B38" s="609"/>
      <c r="C38" s="609"/>
      <c r="D38" s="609"/>
      <c r="E38" s="609"/>
    </row>
    <row r="39" spans="1:5" ht="15">
      <c r="A39" s="16" t="s">
        <v>30</v>
      </c>
      <c r="B39" s="23" t="s">
        <v>31</v>
      </c>
      <c r="C39" s="237" t="s">
        <v>86</v>
      </c>
      <c r="D39" s="237" t="s">
        <v>87</v>
      </c>
      <c r="E39" s="237" t="s">
        <v>87</v>
      </c>
    </row>
    <row r="40" spans="1:5" ht="15">
      <c r="A40" s="22" t="s">
        <v>3</v>
      </c>
      <c r="B40" s="19" t="s">
        <v>32</v>
      </c>
      <c r="C40" s="261">
        <f>MC!D17</f>
        <v>0.2</v>
      </c>
      <c r="D40" s="234">
        <f t="shared" ref="D40:E47" si="6">TRUNC(D$27*$C40,2)</f>
        <v>372.94</v>
      </c>
      <c r="E40" s="234">
        <f t="shared" si="6"/>
        <v>345.8</v>
      </c>
    </row>
    <row r="41" spans="1:5" ht="15">
      <c r="A41" s="22" t="s">
        <v>5</v>
      </c>
      <c r="B41" s="19" t="s">
        <v>33</v>
      </c>
      <c r="C41" s="261">
        <f>MC!D18</f>
        <v>2.5000000000000001E-2</v>
      </c>
      <c r="D41" s="234">
        <f t="shared" si="6"/>
        <v>46.61</v>
      </c>
      <c r="E41" s="234">
        <f t="shared" si="6"/>
        <v>43.22</v>
      </c>
    </row>
    <row r="42" spans="1:5" ht="15">
      <c r="A42" s="22" t="s">
        <v>8</v>
      </c>
      <c r="B42" s="19" t="s">
        <v>34</v>
      </c>
      <c r="C42" s="261">
        <f>MC!D19</f>
        <v>0.06</v>
      </c>
      <c r="D42" s="234">
        <f t="shared" si="6"/>
        <v>111.88</v>
      </c>
      <c r="E42" s="234">
        <f t="shared" si="6"/>
        <v>103.74</v>
      </c>
    </row>
    <row r="43" spans="1:5" ht="15">
      <c r="A43" s="22" t="s">
        <v>10</v>
      </c>
      <c r="B43" s="19" t="s">
        <v>35</v>
      </c>
      <c r="C43" s="261">
        <f>MC!D21</f>
        <v>1.4999999999999999E-2</v>
      </c>
      <c r="D43" s="234">
        <f t="shared" si="6"/>
        <v>27.97</v>
      </c>
      <c r="E43" s="234">
        <f t="shared" si="6"/>
        <v>25.93</v>
      </c>
    </row>
    <row r="44" spans="1:5" ht="15">
      <c r="A44" s="22" t="s">
        <v>12</v>
      </c>
      <c r="B44" s="19" t="s">
        <v>36</v>
      </c>
      <c r="C44" s="261">
        <f>MC!D22</f>
        <v>0.01</v>
      </c>
      <c r="D44" s="234">
        <f t="shared" si="6"/>
        <v>18.64</v>
      </c>
      <c r="E44" s="234">
        <f t="shared" si="6"/>
        <v>17.29</v>
      </c>
    </row>
    <row r="45" spans="1:5" ht="15">
      <c r="A45" s="22" t="s">
        <v>21</v>
      </c>
      <c r="B45" s="19" t="s">
        <v>37</v>
      </c>
      <c r="C45" s="261">
        <f>MC!D23</f>
        <v>6.0000000000000001E-3</v>
      </c>
      <c r="D45" s="234">
        <f t="shared" si="6"/>
        <v>11.18</v>
      </c>
      <c r="E45" s="234">
        <f t="shared" si="6"/>
        <v>10.37</v>
      </c>
    </row>
    <row r="46" spans="1:5" ht="15">
      <c r="A46" s="22" t="s">
        <v>22</v>
      </c>
      <c r="B46" s="19" t="s">
        <v>38</v>
      </c>
      <c r="C46" s="261">
        <f>MC!D24</f>
        <v>2E-3</v>
      </c>
      <c r="D46" s="234">
        <f>TRUNC(D$27*$C46,2)</f>
        <v>3.72</v>
      </c>
      <c r="E46" s="234">
        <f t="shared" si="6"/>
        <v>3.45</v>
      </c>
    </row>
    <row r="47" spans="1:5" ht="15">
      <c r="A47" s="22" t="s">
        <v>39</v>
      </c>
      <c r="B47" s="19" t="s">
        <v>40</v>
      </c>
      <c r="C47" s="261">
        <f>MC!D25</f>
        <v>0.08</v>
      </c>
      <c r="D47" s="234">
        <f t="shared" si="6"/>
        <v>149.16999999999999</v>
      </c>
      <c r="E47" s="234">
        <f t="shared" si="6"/>
        <v>138.32</v>
      </c>
    </row>
    <row r="48" spans="1:5" ht="15">
      <c r="A48" s="571" t="s">
        <v>41</v>
      </c>
      <c r="B48" s="571"/>
      <c r="C48" s="262">
        <f>TRUNC(SUM(C40:C47),5)</f>
        <v>0.39800000000000002</v>
      </c>
      <c r="D48" s="238">
        <f t="shared" ref="D48:E48" si="7">TRUNC(SUM(D40:D47),2)</f>
        <v>742.11</v>
      </c>
      <c r="E48" s="238">
        <f t="shared" si="7"/>
        <v>688.12</v>
      </c>
    </row>
    <row r="49" spans="1:5" ht="7.5" customHeight="1">
      <c r="A49" s="7"/>
      <c r="B49" s="7"/>
      <c r="C49" s="4"/>
      <c r="D49" s="232"/>
      <c r="E49" s="232"/>
    </row>
    <row r="50" spans="1:5" ht="18.75">
      <c r="A50" s="609" t="s">
        <v>42</v>
      </c>
      <c r="B50" s="609"/>
      <c r="C50" s="609"/>
      <c r="D50" s="609"/>
      <c r="E50" s="609"/>
    </row>
    <row r="51" spans="1:5" ht="15">
      <c r="A51" s="318" t="s">
        <v>43</v>
      </c>
      <c r="B51" s="611" t="s">
        <v>44</v>
      </c>
      <c r="C51" s="612"/>
      <c r="D51" s="319" t="s">
        <v>87</v>
      </c>
      <c r="E51" s="319" t="s">
        <v>87</v>
      </c>
    </row>
    <row r="52" spans="1:5" ht="15">
      <c r="A52" s="26" t="s">
        <v>3</v>
      </c>
      <c r="B52" s="309" t="s">
        <v>88</v>
      </c>
      <c r="C52" s="182">
        <f>MC!C30</f>
        <v>377.64</v>
      </c>
      <c r="D52" s="180">
        <f>TRUNC(($C52)-(D$22*6%),2)</f>
        <v>265.75</v>
      </c>
      <c r="E52" s="180">
        <f>TRUNC(($C52)-(E$22*6%),2)</f>
        <v>273.89</v>
      </c>
    </row>
    <row r="53" spans="1:5" ht="15">
      <c r="A53" s="26" t="s">
        <v>5</v>
      </c>
      <c r="B53" s="25" t="s">
        <v>89</v>
      </c>
      <c r="C53" s="263">
        <f>MC!C38</f>
        <v>19.37</v>
      </c>
      <c r="D53" s="180">
        <f>$C53*D12</f>
        <v>406.38260000000002</v>
      </c>
      <c r="E53" s="180">
        <f>$C53*E12</f>
        <v>406.38260000000002</v>
      </c>
    </row>
    <row r="54" spans="1:5" ht="15">
      <c r="A54" s="26" t="s">
        <v>8</v>
      </c>
      <c r="B54" s="25" t="s">
        <v>722</v>
      </c>
      <c r="C54" s="182">
        <f>MC!C45</f>
        <v>35.33</v>
      </c>
      <c r="D54" s="182">
        <f>C54</f>
        <v>35.33</v>
      </c>
      <c r="E54" s="182">
        <f>C54</f>
        <v>35.33</v>
      </c>
    </row>
    <row r="55" spans="1:5" ht="15">
      <c r="A55" s="459" t="s">
        <v>12</v>
      </c>
      <c r="B55" s="472" t="s">
        <v>721</v>
      </c>
      <c r="C55" s="458">
        <v>144.68</v>
      </c>
      <c r="D55" s="182">
        <f>C55</f>
        <v>144.68</v>
      </c>
      <c r="E55" s="465">
        <f>C55</f>
        <v>144.68</v>
      </c>
    </row>
    <row r="56" spans="1:5" ht="15">
      <c r="A56" s="17" t="s">
        <v>21</v>
      </c>
      <c r="B56" s="34" t="s">
        <v>720</v>
      </c>
      <c r="C56" s="264">
        <v>339.42</v>
      </c>
      <c r="D56" s="460">
        <f>C56/12</f>
        <v>28.285</v>
      </c>
      <c r="E56" s="181">
        <f>C56/12</f>
        <v>28.285</v>
      </c>
    </row>
    <row r="57" spans="1:5" ht="15">
      <c r="A57" s="17" t="s">
        <v>22</v>
      </c>
      <c r="B57" s="34" t="s">
        <v>723</v>
      </c>
      <c r="C57" s="264">
        <v>300</v>
      </c>
      <c r="D57" s="460">
        <f>C57</f>
        <v>300</v>
      </c>
      <c r="E57" s="181">
        <f>C57</f>
        <v>300</v>
      </c>
    </row>
    <row r="58" spans="1:5" ht="15">
      <c r="A58" s="569" t="s">
        <v>41</v>
      </c>
      <c r="B58" s="569"/>
      <c r="C58" s="569"/>
      <c r="D58" s="231">
        <f>TRUNC(SUM(D52:D57),2)</f>
        <v>1180.42</v>
      </c>
      <c r="E58" s="231">
        <f>TRUNC(SUM(E52:E57),2)</f>
        <v>1188.56</v>
      </c>
    </row>
    <row r="59" spans="1:5" ht="9.75" customHeight="1">
      <c r="A59" s="8"/>
      <c r="B59" s="8"/>
      <c r="C59" s="2"/>
      <c r="D59" s="232"/>
      <c r="E59" s="232"/>
    </row>
    <row r="60" spans="1:5" ht="18.75">
      <c r="A60" s="607" t="s">
        <v>46</v>
      </c>
      <c r="B60" s="607"/>
      <c r="C60" s="607"/>
      <c r="D60" s="607"/>
      <c r="E60" s="607"/>
    </row>
    <row r="61" spans="1:5" ht="15">
      <c r="A61" s="11">
        <v>2</v>
      </c>
      <c r="B61" s="574" t="s">
        <v>47</v>
      </c>
      <c r="C61" s="574"/>
      <c r="D61" s="230" t="s">
        <v>87</v>
      </c>
      <c r="E61" s="230" t="s">
        <v>87</v>
      </c>
    </row>
    <row r="62" spans="1:5" ht="15">
      <c r="A62" s="10" t="s">
        <v>24</v>
      </c>
      <c r="B62" s="575" t="s">
        <v>25</v>
      </c>
      <c r="C62" s="575"/>
      <c r="D62" s="240">
        <f>TRUNC(D36,2)</f>
        <v>289.61</v>
      </c>
      <c r="E62" s="240">
        <f>TRUNC(E36,2)</f>
        <v>268.52999999999997</v>
      </c>
    </row>
    <row r="63" spans="1:5" ht="15">
      <c r="A63" s="10" t="s">
        <v>30</v>
      </c>
      <c r="B63" s="575" t="s">
        <v>31</v>
      </c>
      <c r="C63" s="575"/>
      <c r="D63" s="240">
        <f>TRUNC(D48,2)</f>
        <v>742.11</v>
      </c>
      <c r="E63" s="240">
        <f>TRUNC(E48,2)</f>
        <v>688.12</v>
      </c>
    </row>
    <row r="64" spans="1:5" ht="15">
      <c r="A64" s="10" t="s">
        <v>43</v>
      </c>
      <c r="B64" s="575" t="s">
        <v>44</v>
      </c>
      <c r="C64" s="575"/>
      <c r="D64" s="240">
        <f t="shared" ref="D64:E64" si="8">TRUNC(D58,2)</f>
        <v>1180.42</v>
      </c>
      <c r="E64" s="240">
        <f t="shared" si="8"/>
        <v>1188.56</v>
      </c>
    </row>
    <row r="65" spans="1:5" ht="15">
      <c r="A65" s="576" t="s">
        <v>48</v>
      </c>
      <c r="B65" s="576"/>
      <c r="C65" s="576"/>
      <c r="D65" s="279">
        <f t="shared" ref="D65:E65" si="9">TRUNC(SUM(D62:D64),2)</f>
        <v>2212.14</v>
      </c>
      <c r="E65" s="279">
        <f t="shared" si="9"/>
        <v>2145.21</v>
      </c>
    </row>
    <row r="66" spans="1:5" ht="15">
      <c r="A66" s="8"/>
      <c r="B66" s="8"/>
      <c r="C66" s="2"/>
      <c r="D66" s="232"/>
      <c r="E66" s="232"/>
    </row>
    <row r="67" spans="1:5" ht="18.75">
      <c r="A67" s="610" t="s">
        <v>49</v>
      </c>
      <c r="B67" s="610"/>
      <c r="C67" s="610"/>
      <c r="D67" s="610"/>
      <c r="E67" s="610"/>
    </row>
    <row r="68" spans="1:5" ht="15">
      <c r="A68" s="11">
        <v>3</v>
      </c>
      <c r="B68" s="11" t="s">
        <v>50</v>
      </c>
      <c r="C68" s="230" t="s">
        <v>86</v>
      </c>
      <c r="D68" s="230" t="s">
        <v>87</v>
      </c>
      <c r="E68" s="230" t="s">
        <v>87</v>
      </c>
    </row>
    <row r="69" spans="1:5" ht="15">
      <c r="A69" s="21" t="s">
        <v>3</v>
      </c>
      <c r="B69" s="35" t="s">
        <v>51</v>
      </c>
      <c r="C69" s="265">
        <f>MC!D67</f>
        <v>8.3000000000000001E-3</v>
      </c>
      <c r="D69" s="234">
        <f>TRUNC(D$27*$C69,2)</f>
        <v>15.47</v>
      </c>
      <c r="E69" s="234">
        <f t="shared" ref="D69:E70" si="10">TRUNC(E$27*$C69,2)</f>
        <v>14.35</v>
      </c>
    </row>
    <row r="70" spans="1:5" ht="15">
      <c r="A70" s="26" t="s">
        <v>5</v>
      </c>
      <c r="B70" s="19" t="s">
        <v>52</v>
      </c>
      <c r="C70" s="265">
        <f>MC!D68</f>
        <v>5.9999999999999995E-4</v>
      </c>
      <c r="D70" s="234">
        <f t="shared" si="10"/>
        <v>1.1100000000000001</v>
      </c>
      <c r="E70" s="234">
        <f t="shared" si="10"/>
        <v>1.03</v>
      </c>
    </row>
    <row r="71" spans="1:5" ht="15">
      <c r="A71" s="26" t="s">
        <v>8</v>
      </c>
      <c r="B71" s="19" t="s">
        <v>53</v>
      </c>
      <c r="C71" s="265">
        <v>0.4</v>
      </c>
      <c r="D71" s="234">
        <f t="shared" ref="D71:E71" si="11">0.4*0.08*0.1*(D$27+D$32+D$33)</f>
        <v>6.6300160000000004</v>
      </c>
      <c r="E71" s="234">
        <f t="shared" si="11"/>
        <v>6.1475840000000002</v>
      </c>
    </row>
    <row r="72" spans="1:5" ht="15">
      <c r="A72" s="26" t="s">
        <v>10</v>
      </c>
      <c r="B72" s="19" t="s">
        <v>122</v>
      </c>
      <c r="C72" s="265">
        <f>MC!D70</f>
        <v>1.9400000000000001E-2</v>
      </c>
      <c r="D72" s="234">
        <f>TRUNC(D$27*$C72,2)</f>
        <v>36.17</v>
      </c>
      <c r="E72" s="234">
        <f t="shared" ref="D72:E73" si="12">TRUNC(E$27*$C72,2)</f>
        <v>33.54</v>
      </c>
    </row>
    <row r="73" spans="1:5" ht="30">
      <c r="A73" s="26" t="s">
        <v>12</v>
      </c>
      <c r="B73" s="19" t="s">
        <v>91</v>
      </c>
      <c r="C73" s="265">
        <f>MC!D71</f>
        <v>7.7000000000000002E-3</v>
      </c>
      <c r="D73" s="234">
        <f t="shared" si="12"/>
        <v>14.35</v>
      </c>
      <c r="E73" s="234">
        <f t="shared" si="12"/>
        <v>13.31</v>
      </c>
    </row>
    <row r="74" spans="1:5" ht="15">
      <c r="A74" s="39" t="s">
        <v>21</v>
      </c>
      <c r="B74" s="18" t="s">
        <v>54</v>
      </c>
      <c r="C74" s="273">
        <v>0.4</v>
      </c>
      <c r="D74" s="274">
        <f>0.08*0.4*(D$27+D$32+D$33)</f>
        <v>66.300160000000005</v>
      </c>
      <c r="E74" s="274">
        <f t="shared" ref="E74" si="13">0.08*0.4*(E$27+E$32+E$33)</f>
        <v>61.475839999999998</v>
      </c>
    </row>
    <row r="75" spans="1:5" ht="15">
      <c r="A75" s="578" t="s">
        <v>41</v>
      </c>
      <c r="B75" s="578"/>
      <c r="C75" s="276">
        <f>TRUNC(SUM(C69:C74),5)</f>
        <v>0.83599999999999997</v>
      </c>
      <c r="D75" s="277">
        <f>TRUNC(SUM(D69:D74),2)</f>
        <v>140.03</v>
      </c>
      <c r="E75" s="277">
        <f>TRUNC(SUM(E69:E74),2)</f>
        <v>129.85</v>
      </c>
    </row>
    <row r="76" spans="1:5" ht="15">
      <c r="A76" s="36"/>
      <c r="B76" s="36"/>
      <c r="C76" s="241"/>
      <c r="D76" s="241"/>
      <c r="E76" s="241"/>
    </row>
    <row r="77" spans="1:5" ht="18.75">
      <c r="A77" s="623" t="s">
        <v>55</v>
      </c>
      <c r="B77" s="623"/>
      <c r="C77" s="623"/>
      <c r="D77" s="623"/>
      <c r="E77" s="623"/>
    </row>
    <row r="78" spans="1:5" ht="18.75">
      <c r="A78" s="624" t="s">
        <v>56</v>
      </c>
      <c r="B78" s="624"/>
      <c r="C78" s="624"/>
      <c r="D78" s="624"/>
      <c r="E78" s="624"/>
    </row>
    <row r="79" spans="1:5" ht="15">
      <c r="A79" s="37" t="s">
        <v>57</v>
      </c>
      <c r="B79" s="37" t="s">
        <v>58</v>
      </c>
      <c r="C79" s="242" t="s">
        <v>86</v>
      </c>
      <c r="D79" s="242" t="s">
        <v>87</v>
      </c>
      <c r="E79" s="242" t="s">
        <v>87</v>
      </c>
    </row>
    <row r="80" spans="1:5" ht="15">
      <c r="A80" s="10" t="s">
        <v>3</v>
      </c>
      <c r="B80" s="38" t="s">
        <v>59</v>
      </c>
      <c r="C80" s="266">
        <f>MC!D77</f>
        <v>8.3299999999999999E-2</v>
      </c>
      <c r="D80" s="234">
        <f>TRUNC(D$27*$C80,2)</f>
        <v>155.33000000000001</v>
      </c>
      <c r="E80" s="234">
        <f t="shared" ref="D80:E86" si="14">TRUNC(E$27*$C80,2)</f>
        <v>144.02000000000001</v>
      </c>
    </row>
    <row r="81" spans="1:5" ht="15">
      <c r="A81" s="10" t="s">
        <v>5</v>
      </c>
      <c r="B81" s="38" t="s">
        <v>60</v>
      </c>
      <c r="C81" s="266">
        <f>MC!D78</f>
        <v>1.3899999999999999E-2</v>
      </c>
      <c r="D81" s="234">
        <f t="shared" si="14"/>
        <v>25.91</v>
      </c>
      <c r="E81" s="234">
        <f t="shared" si="14"/>
        <v>24.03</v>
      </c>
    </row>
    <row r="82" spans="1:5" ht="15">
      <c r="A82" s="10" t="s">
        <v>8</v>
      </c>
      <c r="B82" s="38" t="s">
        <v>61</v>
      </c>
      <c r="C82" s="266">
        <f>MC!D79</f>
        <v>6.9999999999999999E-4</v>
      </c>
      <c r="D82" s="234">
        <f t="shared" si="14"/>
        <v>1.3</v>
      </c>
      <c r="E82" s="234">
        <f t="shared" si="14"/>
        <v>1.21</v>
      </c>
    </row>
    <row r="83" spans="1:5" ht="15">
      <c r="A83" s="10" t="s">
        <v>10</v>
      </c>
      <c r="B83" s="38" t="s">
        <v>62</v>
      </c>
      <c r="C83" s="266">
        <f>MC!D80</f>
        <v>8.3333333333333332E-3</v>
      </c>
      <c r="D83" s="234">
        <f t="shared" si="14"/>
        <v>15.53</v>
      </c>
      <c r="E83" s="234">
        <f t="shared" si="14"/>
        <v>14.4</v>
      </c>
    </row>
    <row r="84" spans="1:5" ht="15">
      <c r="A84" s="83" t="s">
        <v>12</v>
      </c>
      <c r="B84" s="84" t="s">
        <v>63</v>
      </c>
      <c r="C84" s="266">
        <f>MC!D81</f>
        <v>3.7037037037037035E-4</v>
      </c>
      <c r="D84" s="234">
        <f t="shared" si="14"/>
        <v>0.69</v>
      </c>
      <c r="E84" s="234">
        <f t="shared" si="14"/>
        <v>0.64</v>
      </c>
    </row>
    <row r="85" spans="1:5" ht="15">
      <c r="A85" s="581" t="s">
        <v>155</v>
      </c>
      <c r="B85" s="581"/>
      <c r="C85" s="260">
        <f>TRUNC(SUM(C80:C84),5)</f>
        <v>0.1066</v>
      </c>
      <c r="D85" s="236">
        <f t="shared" ref="D85:E85" si="15">TRUNC(SUM(D80:D84),2)</f>
        <v>198.76</v>
      </c>
      <c r="E85" s="236">
        <f t="shared" si="15"/>
        <v>184.3</v>
      </c>
    </row>
    <row r="86" spans="1:5" ht="15">
      <c r="A86" s="10" t="s">
        <v>21</v>
      </c>
      <c r="B86" s="38" t="s">
        <v>219</v>
      </c>
      <c r="C86" s="266">
        <f>C85*C48</f>
        <v>4.2426800000000001E-2</v>
      </c>
      <c r="D86" s="234">
        <f t="shared" si="14"/>
        <v>79.11</v>
      </c>
      <c r="E86" s="234">
        <f t="shared" si="14"/>
        <v>73.349999999999994</v>
      </c>
    </row>
    <row r="87" spans="1:5" ht="15">
      <c r="A87" s="581" t="s">
        <v>41</v>
      </c>
      <c r="B87" s="581"/>
      <c r="C87" s="260">
        <f>TRUNC(SUM(C85:C86),5)</f>
        <v>0.14902000000000001</v>
      </c>
      <c r="D87" s="236">
        <f t="shared" ref="D87:E87" si="16">TRUNC(SUM(D85:D86),2)</f>
        <v>277.87</v>
      </c>
      <c r="E87" s="236">
        <f t="shared" si="16"/>
        <v>257.64999999999998</v>
      </c>
    </row>
    <row r="88" spans="1:5" ht="8.25" customHeight="1">
      <c r="A88" s="7"/>
      <c r="B88" s="7"/>
      <c r="C88" s="4"/>
      <c r="D88" s="232"/>
      <c r="E88" s="232"/>
    </row>
    <row r="89" spans="1:5" ht="18.75">
      <c r="A89" s="622" t="s">
        <v>64</v>
      </c>
      <c r="B89" s="622"/>
      <c r="C89" s="622"/>
      <c r="D89" s="622"/>
      <c r="E89" s="622"/>
    </row>
    <row r="90" spans="1:5" ht="15">
      <c r="A90" s="16" t="s">
        <v>65</v>
      </c>
      <c r="B90" s="16" t="s">
        <v>66</v>
      </c>
      <c r="C90" s="237" t="s">
        <v>86</v>
      </c>
      <c r="D90" s="237" t="s">
        <v>87</v>
      </c>
      <c r="E90" s="237" t="s">
        <v>87</v>
      </c>
    </row>
    <row r="91" spans="1:5" ht="30">
      <c r="A91" s="39" t="s">
        <v>3</v>
      </c>
      <c r="B91" s="18" t="s">
        <v>67</v>
      </c>
      <c r="C91" s="267">
        <v>0</v>
      </c>
      <c r="D91" s="243">
        <v>0</v>
      </c>
      <c r="E91" s="243">
        <v>0</v>
      </c>
    </row>
    <row r="92" spans="1:5" ht="15">
      <c r="A92" s="581" t="s">
        <v>41</v>
      </c>
      <c r="B92" s="581"/>
      <c r="C92" s="268">
        <f>TRUNC(SUM(C91),4)</f>
        <v>0</v>
      </c>
      <c r="D92" s="244">
        <f t="shared" ref="D92:E92" si="17">TRUNC(D91,2)</f>
        <v>0</v>
      </c>
      <c r="E92" s="244">
        <f t="shared" si="17"/>
        <v>0</v>
      </c>
    </row>
    <row r="93" spans="1:5" ht="15">
      <c r="A93" s="8"/>
      <c r="B93" s="8"/>
      <c r="C93" s="2"/>
      <c r="D93" s="232"/>
      <c r="E93" s="232"/>
    </row>
    <row r="94" spans="1:5" ht="18.75">
      <c r="A94" s="623" t="s">
        <v>68</v>
      </c>
      <c r="B94" s="623"/>
      <c r="C94" s="623"/>
      <c r="D94" s="623"/>
      <c r="E94" s="623"/>
    </row>
    <row r="95" spans="1:5" ht="15">
      <c r="A95" s="11">
        <v>4</v>
      </c>
      <c r="B95" s="581" t="s">
        <v>69</v>
      </c>
      <c r="C95" s="581"/>
      <c r="D95" s="230" t="s">
        <v>87</v>
      </c>
      <c r="E95" s="230" t="s">
        <v>87</v>
      </c>
    </row>
    <row r="96" spans="1:5" ht="15">
      <c r="A96" s="88" t="s">
        <v>57</v>
      </c>
      <c r="B96" s="575" t="s">
        <v>58</v>
      </c>
      <c r="C96" s="575"/>
      <c r="D96" s="245">
        <f t="shared" ref="D96:E96" si="18">TRUNC(D87,2)</f>
        <v>277.87</v>
      </c>
      <c r="E96" s="245">
        <f t="shared" si="18"/>
        <v>257.64999999999998</v>
      </c>
    </row>
    <row r="97" spans="1:5" ht="15">
      <c r="A97" s="88" t="s">
        <v>65</v>
      </c>
      <c r="B97" s="575" t="s">
        <v>66</v>
      </c>
      <c r="C97" s="575"/>
      <c r="D97" s="246">
        <v>0</v>
      </c>
      <c r="E97" s="246">
        <v>0</v>
      </c>
    </row>
    <row r="98" spans="1:5" ht="15">
      <c r="A98" s="583" t="s">
        <v>41</v>
      </c>
      <c r="B98" s="583"/>
      <c r="C98" s="583"/>
      <c r="D98" s="272">
        <f t="shared" ref="D98:E98" si="19">TRUNC(SUM(D96:D97),2)</f>
        <v>277.87</v>
      </c>
      <c r="E98" s="272">
        <f t="shared" si="19"/>
        <v>257.64999999999998</v>
      </c>
    </row>
    <row r="99" spans="1:5" ht="15">
      <c r="A99" s="8"/>
      <c r="B99" s="8"/>
      <c r="C99" s="2"/>
      <c r="D99" s="232"/>
      <c r="E99" s="232"/>
    </row>
    <row r="100" spans="1:5" ht="18.75">
      <c r="A100" s="625" t="s">
        <v>80</v>
      </c>
      <c r="B100" s="626"/>
      <c r="C100" s="626"/>
      <c r="D100" s="626"/>
      <c r="E100" s="626"/>
    </row>
    <row r="101" spans="1:5" ht="15">
      <c r="A101" s="41">
        <v>5</v>
      </c>
      <c r="B101" s="585" t="s">
        <v>92</v>
      </c>
      <c r="C101" s="586"/>
      <c r="D101" s="247" t="s">
        <v>87</v>
      </c>
      <c r="E101" s="247" t="s">
        <v>87</v>
      </c>
    </row>
    <row r="102" spans="1:5" ht="15">
      <c r="A102" s="40" t="s">
        <v>3</v>
      </c>
      <c r="B102" s="587" t="s">
        <v>157</v>
      </c>
      <c r="C102" s="587"/>
      <c r="D102" s="181">
        <f>Unif_Equip!E12</f>
        <v>66.47</v>
      </c>
      <c r="E102" s="181">
        <f>Unif_Equip!E12</f>
        <v>66.47</v>
      </c>
    </row>
    <row r="103" spans="1:5" ht="15">
      <c r="A103" s="40" t="s">
        <v>5</v>
      </c>
      <c r="B103" s="587" t="s">
        <v>158</v>
      </c>
      <c r="C103" s="587"/>
      <c r="D103" s="181"/>
      <c r="E103" s="181"/>
    </row>
    <row r="104" spans="1:5" ht="15">
      <c r="A104" s="40" t="s">
        <v>8</v>
      </c>
      <c r="B104" s="588" t="s">
        <v>159</v>
      </c>
      <c r="C104" s="589"/>
      <c r="D104" s="181">
        <v>0</v>
      </c>
      <c r="E104" s="181">
        <v>0</v>
      </c>
    </row>
    <row r="105" spans="1:5" ht="15">
      <c r="A105" s="40" t="s">
        <v>12</v>
      </c>
      <c r="B105" s="588" t="s">
        <v>151</v>
      </c>
      <c r="C105" s="589"/>
      <c r="D105" s="181"/>
      <c r="E105" s="181"/>
    </row>
    <row r="106" spans="1:5" ht="15">
      <c r="A106" s="613" t="s">
        <v>41</v>
      </c>
      <c r="B106" s="613"/>
      <c r="C106" s="613"/>
      <c r="D106" s="320">
        <f t="shared" ref="D106:E106" si="20">TRUNC(SUM(D102:D105),2)</f>
        <v>66.47</v>
      </c>
      <c r="E106" s="320">
        <f t="shared" si="20"/>
        <v>66.47</v>
      </c>
    </row>
    <row r="107" spans="1:5" ht="15">
      <c r="A107" s="8"/>
      <c r="B107" s="8"/>
      <c r="C107" s="2"/>
      <c r="D107" s="3"/>
      <c r="E107" s="3"/>
    </row>
    <row r="108" spans="1:5" ht="18.75">
      <c r="A108" s="614" t="s">
        <v>95</v>
      </c>
      <c r="B108" s="614"/>
      <c r="C108" s="614"/>
      <c r="D108" s="614"/>
      <c r="E108" s="614"/>
    </row>
    <row r="109" spans="1:5" ht="15">
      <c r="A109" s="11">
        <v>6</v>
      </c>
      <c r="B109" s="42" t="s">
        <v>70</v>
      </c>
      <c r="C109" s="230" t="s">
        <v>86</v>
      </c>
      <c r="D109" s="230" t="s">
        <v>87</v>
      </c>
      <c r="E109" s="230" t="s">
        <v>87</v>
      </c>
    </row>
    <row r="110" spans="1:5" ht="15">
      <c r="A110" s="10" t="s">
        <v>3</v>
      </c>
      <c r="B110" s="38" t="s">
        <v>71</v>
      </c>
      <c r="C110" s="269">
        <v>0.03</v>
      </c>
      <c r="D110" s="240">
        <f>TRUNC((D$121+D$122+D$123+D$124+D$125)*$C110,2)</f>
        <v>136.83000000000001</v>
      </c>
      <c r="E110" s="240">
        <f>TRUNC((E$121+E$122+E$123+E$124+E$125)*$C110,2)</f>
        <v>129.84</v>
      </c>
    </row>
    <row r="111" spans="1:5" ht="15">
      <c r="A111" s="10" t="s">
        <v>5</v>
      </c>
      <c r="B111" s="38" t="s">
        <v>72</v>
      </c>
      <c r="C111" s="269">
        <v>6.7900000000000002E-2</v>
      </c>
      <c r="D111" s="240">
        <f>TRUNC((D$121+D$122+D$123+D$124+D$125)*$C111,2)</f>
        <v>309.7</v>
      </c>
      <c r="E111" s="240">
        <f>TRUNC((E$121+E$122+E$123+E$124+E$125)*$C111,2)</f>
        <v>293.88</v>
      </c>
    </row>
    <row r="112" spans="1:5" ht="15">
      <c r="A112" s="11" t="s">
        <v>8</v>
      </c>
      <c r="B112" s="43" t="s">
        <v>73</v>
      </c>
      <c r="C112" s="270">
        <f>TRUNC(SUM(C113:C115),4)</f>
        <v>0.14249999999999999</v>
      </c>
      <c r="D112" s="248"/>
      <c r="E112" s="248"/>
    </row>
    <row r="113" spans="1:5" ht="15">
      <c r="A113" s="10"/>
      <c r="B113" s="38" t="s">
        <v>458</v>
      </c>
      <c r="C113" s="269">
        <f>MC!$C$95</f>
        <v>1.6500000000000001E-2</v>
      </c>
      <c r="D113" s="240">
        <f t="shared" ref="D113:E115" si="21">TRUNC(((D$126+D$110+D$111)/(1-($C$112)))*$C113,2)</f>
        <v>96.35</v>
      </c>
      <c r="E113" s="240">
        <f t="shared" si="21"/>
        <v>91.43</v>
      </c>
    </row>
    <row r="114" spans="1:5" ht="15">
      <c r="A114" s="10"/>
      <c r="B114" s="38" t="s">
        <v>459</v>
      </c>
      <c r="C114" s="269">
        <f>MC!$C$94</f>
        <v>7.5999999999999998E-2</v>
      </c>
      <c r="D114" s="240">
        <f t="shared" si="21"/>
        <v>443.83</v>
      </c>
      <c r="E114" s="240">
        <f t="shared" si="21"/>
        <v>421.16</v>
      </c>
    </row>
    <row r="115" spans="1:5" ht="15">
      <c r="A115" s="38"/>
      <c r="B115" s="38" t="s">
        <v>460</v>
      </c>
      <c r="C115" s="269">
        <f>MC!$C$93</f>
        <v>0.05</v>
      </c>
      <c r="D115" s="240">
        <f t="shared" si="21"/>
        <v>291.99</v>
      </c>
      <c r="E115" s="240">
        <f t="shared" si="21"/>
        <v>277.08</v>
      </c>
    </row>
    <row r="116" spans="1:5" ht="15">
      <c r="A116" s="594" t="s">
        <v>75</v>
      </c>
      <c r="B116" s="594"/>
      <c r="C116" s="594"/>
      <c r="D116" s="288">
        <f t="shared" ref="D116:E116" si="22">TRUNC((D110+D111+D113+D114+D115),2)</f>
        <v>1278.7</v>
      </c>
      <c r="E116" s="288">
        <f t="shared" si="22"/>
        <v>1213.3900000000001</v>
      </c>
    </row>
    <row r="117" spans="1:5" ht="15">
      <c r="A117" s="33"/>
      <c r="B117" s="33"/>
      <c r="C117" s="255"/>
      <c r="D117" s="3"/>
      <c r="E117" s="3"/>
    </row>
    <row r="118" spans="1:5" ht="21">
      <c r="A118" s="615" t="s">
        <v>76</v>
      </c>
      <c r="B118" s="615"/>
      <c r="C118" s="615"/>
      <c r="D118" s="615"/>
      <c r="E118" s="615"/>
    </row>
    <row r="119" spans="1:5" ht="15">
      <c r="A119" s="616" t="s">
        <v>77</v>
      </c>
      <c r="B119" s="617"/>
      <c r="C119" s="618"/>
      <c r="D119" s="301" t="s">
        <v>223</v>
      </c>
      <c r="E119" s="301" t="s">
        <v>227</v>
      </c>
    </row>
    <row r="120" spans="1:5" ht="15" customHeight="1">
      <c r="A120" s="619"/>
      <c r="B120" s="620"/>
      <c r="C120" s="621"/>
      <c r="D120" s="230" t="s">
        <v>87</v>
      </c>
      <c r="E120" s="230" t="s">
        <v>87</v>
      </c>
    </row>
    <row r="121" spans="1:5" ht="15">
      <c r="A121" s="281" t="s">
        <v>3</v>
      </c>
      <c r="B121" s="599" t="s">
        <v>78</v>
      </c>
      <c r="C121" s="599"/>
      <c r="D121" s="282">
        <f>TRUNC(D27,2)</f>
        <v>1864.72</v>
      </c>
      <c r="E121" s="282">
        <f>TRUNC(E27,2)</f>
        <v>1729.04</v>
      </c>
    </row>
    <row r="122" spans="1:5" ht="15">
      <c r="A122" s="278" t="s">
        <v>5</v>
      </c>
      <c r="B122" s="600" t="s">
        <v>79</v>
      </c>
      <c r="C122" s="600"/>
      <c r="D122" s="283">
        <f t="shared" ref="D122:E122" si="23">TRUNC(D65,2)</f>
        <v>2212.14</v>
      </c>
      <c r="E122" s="283">
        <f t="shared" si="23"/>
        <v>2145.21</v>
      </c>
    </row>
    <row r="123" spans="1:5" ht="15">
      <c r="A123" s="275" t="s">
        <v>8</v>
      </c>
      <c r="B123" s="601" t="s">
        <v>49</v>
      </c>
      <c r="C123" s="601"/>
      <c r="D123" s="284">
        <f t="shared" ref="D123:E123" si="24">TRUNC(D75,2)</f>
        <v>140.03</v>
      </c>
      <c r="E123" s="284">
        <f t="shared" si="24"/>
        <v>129.85</v>
      </c>
    </row>
    <row r="124" spans="1:5" ht="15">
      <c r="A124" s="271" t="s">
        <v>10</v>
      </c>
      <c r="B124" s="602" t="s">
        <v>55</v>
      </c>
      <c r="C124" s="602"/>
      <c r="D124" s="285">
        <f t="shared" ref="D124:E124" si="25">TRUNC(D98,2)</f>
        <v>277.87</v>
      </c>
      <c r="E124" s="285">
        <f t="shared" si="25"/>
        <v>257.64999999999998</v>
      </c>
    </row>
    <row r="125" spans="1:5" ht="15">
      <c r="A125" s="321" t="s">
        <v>12</v>
      </c>
      <c r="B125" s="603" t="s">
        <v>80</v>
      </c>
      <c r="C125" s="603"/>
      <c r="D125" s="322">
        <f t="shared" ref="D125:E125" si="26">TRUNC(D106,2)</f>
        <v>66.47</v>
      </c>
      <c r="E125" s="322">
        <f t="shared" si="26"/>
        <v>66.47</v>
      </c>
    </row>
    <row r="126" spans="1:5" ht="15">
      <c r="A126" s="581" t="s">
        <v>81</v>
      </c>
      <c r="B126" s="581"/>
      <c r="C126" s="581"/>
      <c r="D126" s="236">
        <f t="shared" ref="D126:E126" si="27">TRUNC(SUM(D121:D125),2)</f>
        <v>4561.2299999999996</v>
      </c>
      <c r="E126" s="236">
        <f t="shared" si="27"/>
        <v>4328.22</v>
      </c>
    </row>
    <row r="127" spans="1:5" ht="15">
      <c r="A127" s="286" t="s">
        <v>21</v>
      </c>
      <c r="B127" s="593" t="s">
        <v>82</v>
      </c>
      <c r="C127" s="593"/>
      <c r="D127" s="287">
        <f t="shared" ref="D127:E127" si="28">TRUNC(D116,2)</f>
        <v>1278.7</v>
      </c>
      <c r="E127" s="287">
        <f t="shared" si="28"/>
        <v>1213.3900000000001</v>
      </c>
    </row>
    <row r="128" spans="1:5" ht="21">
      <c r="A128" s="627" t="s">
        <v>83</v>
      </c>
      <c r="B128" s="627"/>
      <c r="C128" s="627"/>
      <c r="D128" s="323">
        <f t="shared" ref="D128:E128" si="29">TRUNC(D126+D127,2)</f>
        <v>5839.93</v>
      </c>
      <c r="E128" s="323">
        <f t="shared" si="29"/>
        <v>5541.61</v>
      </c>
    </row>
    <row r="131" spans="1:5">
      <c r="A131" s="183"/>
      <c r="D131" s="250"/>
      <c r="E131" s="250"/>
    </row>
  </sheetData>
  <sheetProtection selectLockedCells="1" selectUnlockedCells="1"/>
  <mergeCells count="60">
    <mergeCell ref="A20:E20"/>
    <mergeCell ref="A1:E1"/>
    <mergeCell ref="A3:B3"/>
    <mergeCell ref="A4:B4"/>
    <mergeCell ref="A6:E6"/>
    <mergeCell ref="C3:E3"/>
    <mergeCell ref="C4:E4"/>
    <mergeCell ref="A14:E14"/>
    <mergeCell ref="B15:C15"/>
    <mergeCell ref="B16:C16"/>
    <mergeCell ref="B17:C17"/>
    <mergeCell ref="B18:C18"/>
    <mergeCell ref="B61:C61"/>
    <mergeCell ref="A27:C27"/>
    <mergeCell ref="A29:E29"/>
    <mergeCell ref="A30:E30"/>
    <mergeCell ref="A34:B34"/>
    <mergeCell ref="A36:B36"/>
    <mergeCell ref="A38:E38"/>
    <mergeCell ref="A48:B48"/>
    <mergeCell ref="A50:E50"/>
    <mergeCell ref="B51:C51"/>
    <mergeCell ref="A58:C58"/>
    <mergeCell ref="A60:E60"/>
    <mergeCell ref="A92:B92"/>
    <mergeCell ref="B62:C62"/>
    <mergeCell ref="B63:C63"/>
    <mergeCell ref="B64:C64"/>
    <mergeCell ref="A65:C65"/>
    <mergeCell ref="A67:E67"/>
    <mergeCell ref="A75:B75"/>
    <mergeCell ref="A77:E77"/>
    <mergeCell ref="A78:E78"/>
    <mergeCell ref="A85:B85"/>
    <mergeCell ref="A87:B87"/>
    <mergeCell ref="A89:E89"/>
    <mergeCell ref="A106:C106"/>
    <mergeCell ref="A94:E94"/>
    <mergeCell ref="B95:C95"/>
    <mergeCell ref="B96:C96"/>
    <mergeCell ref="B97:C97"/>
    <mergeCell ref="A98:C98"/>
    <mergeCell ref="A100:E100"/>
    <mergeCell ref="B101:C101"/>
    <mergeCell ref="B102:C102"/>
    <mergeCell ref="B103:C103"/>
    <mergeCell ref="B104:C104"/>
    <mergeCell ref="B105:C105"/>
    <mergeCell ref="A128:C128"/>
    <mergeCell ref="A108:E108"/>
    <mergeCell ref="A116:C116"/>
    <mergeCell ref="A118:E118"/>
    <mergeCell ref="A119:C120"/>
    <mergeCell ref="B121:C121"/>
    <mergeCell ref="B122:C122"/>
    <mergeCell ref="B123:C123"/>
    <mergeCell ref="B124:C124"/>
    <mergeCell ref="B125:C125"/>
    <mergeCell ref="A126:C126"/>
    <mergeCell ref="B127:C127"/>
  </mergeCells>
  <conditionalFormatting sqref="D52:E52">
    <cfRule type="cellIs" dxfId="6" priority="1" operator="lessThan">
      <formula>0</formula>
    </cfRule>
  </conditionalFormatting>
  <pageMargins left="0.19685039370078741" right="0.19685039370078741" top="0.98425196850393704" bottom="0.78740157480314965" header="0.31496062992125984" footer="0.31496062992125984"/>
  <pageSetup paperSize="9" scale="81" firstPageNumber="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5EFB0-B78D-4C0E-9BAB-F68C958174BB}">
  <sheetPr>
    <tabColor theme="3" tint="0.59999389629810485"/>
  </sheetPr>
  <dimension ref="A1:G138"/>
  <sheetViews>
    <sheetView zoomScale="115" zoomScaleNormal="115" workbookViewId="0">
      <selection activeCell="D22" sqref="D22"/>
    </sheetView>
  </sheetViews>
  <sheetFormatPr defaultRowHeight="15"/>
  <cols>
    <col min="1" max="1" width="6.28515625" style="1" customWidth="1"/>
    <col min="2" max="2" width="56.5703125" style="1" customWidth="1"/>
    <col min="3" max="3" width="15.7109375" style="249" customWidth="1"/>
    <col min="4" max="5" width="22.5703125" style="249" customWidth="1"/>
  </cols>
  <sheetData>
    <row r="1" spans="1:5" ht="18.75">
      <c r="A1" s="552" t="s">
        <v>1</v>
      </c>
      <c r="B1" s="552"/>
      <c r="C1" s="552"/>
      <c r="D1" s="552"/>
      <c r="E1" s="552"/>
    </row>
    <row r="2" spans="1:5">
      <c r="A2" s="4"/>
      <c r="B2" s="4"/>
      <c r="C2" s="4"/>
      <c r="D2" s="5"/>
      <c r="E2" s="5"/>
    </row>
    <row r="3" spans="1:5" ht="15" customHeight="1">
      <c r="A3" s="553" t="s">
        <v>388</v>
      </c>
      <c r="B3" s="554"/>
      <c r="C3" s="555" t="s">
        <v>371</v>
      </c>
      <c r="D3" s="556"/>
      <c r="E3" s="302"/>
    </row>
    <row r="4" spans="1:5" ht="15" customHeight="1">
      <c r="A4" s="553" t="s">
        <v>389</v>
      </c>
      <c r="B4" s="554"/>
      <c r="C4" s="555"/>
      <c r="D4" s="556"/>
      <c r="E4" s="302"/>
    </row>
    <row r="5" spans="1:5">
      <c r="A5" s="6"/>
      <c r="B5" s="6"/>
      <c r="C5" s="2"/>
      <c r="D5" s="3"/>
      <c r="E5" s="3"/>
    </row>
    <row r="6" spans="1:5" ht="18.75">
      <c r="A6" s="605" t="s">
        <v>2</v>
      </c>
      <c r="B6" s="605"/>
      <c r="C6" s="605"/>
      <c r="D6" s="605"/>
      <c r="E6" s="605"/>
    </row>
    <row r="7" spans="1:5">
      <c r="A7" s="40" t="s">
        <v>3</v>
      </c>
      <c r="B7" s="220" t="s">
        <v>4</v>
      </c>
      <c r="C7" s="310"/>
      <c r="D7" s="311"/>
      <c r="E7" s="311"/>
    </row>
    <row r="8" spans="1:5">
      <c r="A8" s="40" t="s">
        <v>5</v>
      </c>
      <c r="B8" s="220" t="s">
        <v>6</v>
      </c>
      <c r="C8" s="310"/>
      <c r="D8" s="312" t="s">
        <v>7</v>
      </c>
      <c r="E8" s="312" t="s">
        <v>7</v>
      </c>
    </row>
    <row r="9" spans="1:5" ht="25.5">
      <c r="A9" s="40" t="s">
        <v>8</v>
      </c>
      <c r="B9" s="220" t="s">
        <v>9</v>
      </c>
      <c r="C9" s="303"/>
      <c r="D9" s="473" t="s">
        <v>731</v>
      </c>
      <c r="E9" s="473" t="s">
        <v>731</v>
      </c>
    </row>
    <row r="10" spans="1:5">
      <c r="A10" s="40" t="s">
        <v>10</v>
      </c>
      <c r="B10" s="220" t="s">
        <v>11</v>
      </c>
      <c r="C10" s="310"/>
      <c r="D10" s="253">
        <v>12</v>
      </c>
      <c r="E10" s="253">
        <v>12</v>
      </c>
    </row>
    <row r="11" spans="1:5">
      <c r="A11" s="40" t="s">
        <v>12</v>
      </c>
      <c r="B11" s="220" t="s">
        <v>147</v>
      </c>
      <c r="C11" s="253"/>
      <c r="D11" s="253" t="s">
        <v>0</v>
      </c>
      <c r="E11" s="253" t="s">
        <v>0</v>
      </c>
    </row>
    <row r="12" spans="1:5">
      <c r="A12" s="40" t="s">
        <v>21</v>
      </c>
      <c r="B12" s="220" t="s">
        <v>13</v>
      </c>
      <c r="C12" s="310"/>
      <c r="D12" s="313">
        <v>15</v>
      </c>
      <c r="E12" s="313">
        <v>15</v>
      </c>
    </row>
    <row r="13" spans="1:5">
      <c r="A13" s="40" t="s">
        <v>22</v>
      </c>
      <c r="B13" s="220" t="s">
        <v>163</v>
      </c>
      <c r="C13" s="310"/>
      <c r="D13" s="314" t="s">
        <v>186</v>
      </c>
      <c r="E13" s="314" t="s">
        <v>186</v>
      </c>
    </row>
    <row r="14" spans="1:5">
      <c r="A14" s="33"/>
      <c r="B14" s="33"/>
      <c r="C14" s="255"/>
      <c r="D14" s="3"/>
      <c r="E14" s="3"/>
    </row>
    <row r="15" spans="1:5" ht="18.75">
      <c r="A15" s="605" t="s">
        <v>14</v>
      </c>
      <c r="B15" s="605"/>
      <c r="C15" s="605"/>
      <c r="D15" s="605"/>
      <c r="E15" s="605"/>
    </row>
    <row r="16" spans="1:5">
      <c r="A16" s="40">
        <v>1</v>
      </c>
      <c r="B16" s="550" t="s">
        <v>15</v>
      </c>
      <c r="C16" s="550"/>
      <c r="D16" s="301" t="s">
        <v>489</v>
      </c>
      <c r="E16" s="301" t="s">
        <v>490</v>
      </c>
    </row>
    <row r="17" spans="1:5">
      <c r="A17" s="40">
        <v>2</v>
      </c>
      <c r="B17" s="550" t="s">
        <v>16</v>
      </c>
      <c r="C17" s="550"/>
      <c r="D17" s="315"/>
      <c r="E17" s="315"/>
    </row>
    <row r="18" spans="1:5">
      <c r="A18" s="40">
        <v>3</v>
      </c>
      <c r="B18" s="551" t="s">
        <v>17</v>
      </c>
      <c r="C18" s="551"/>
      <c r="D18" s="316">
        <v>2723.41</v>
      </c>
      <c r="E18" s="316">
        <v>2723.41</v>
      </c>
    </row>
    <row r="19" spans="1:5">
      <c r="A19" s="40">
        <v>4</v>
      </c>
      <c r="B19" s="550" t="s">
        <v>18</v>
      </c>
      <c r="C19" s="550"/>
      <c r="D19" s="317">
        <v>45292</v>
      </c>
      <c r="E19" s="317">
        <v>45292</v>
      </c>
    </row>
    <row r="20" spans="1:5">
      <c r="A20" s="14"/>
      <c r="B20" s="14"/>
      <c r="C20" s="229"/>
      <c r="D20" s="229"/>
      <c r="E20" s="229"/>
    </row>
    <row r="21" spans="1:5" ht="18.75">
      <c r="A21" s="606" t="s">
        <v>93</v>
      </c>
      <c r="B21" s="606"/>
      <c r="C21" s="606"/>
      <c r="D21" s="606"/>
      <c r="E21" s="606"/>
    </row>
    <row r="22" spans="1:5">
      <c r="A22" s="11">
        <v>1</v>
      </c>
      <c r="B22" s="11" t="s">
        <v>19</v>
      </c>
      <c r="C22" s="256" t="s">
        <v>86</v>
      </c>
      <c r="D22" s="230" t="s">
        <v>87</v>
      </c>
      <c r="E22" s="230" t="s">
        <v>87</v>
      </c>
    </row>
    <row r="23" spans="1:5">
      <c r="A23" s="10" t="s">
        <v>3</v>
      </c>
      <c r="B23" s="20" t="s">
        <v>20</v>
      </c>
      <c r="C23" s="257">
        <v>1</v>
      </c>
      <c r="D23" s="185">
        <f>D18</f>
        <v>2723.41</v>
      </c>
      <c r="E23" s="185">
        <f>E18</f>
        <v>2723.41</v>
      </c>
    </row>
    <row r="24" spans="1:5">
      <c r="A24" s="12" t="s">
        <v>5</v>
      </c>
      <c r="B24" s="13" t="s">
        <v>152</v>
      </c>
      <c r="C24" s="257">
        <v>0.3</v>
      </c>
      <c r="D24" s="184">
        <f>TRUNC((D$18)*$C$24,2)</f>
        <v>817.02</v>
      </c>
      <c r="E24" s="184">
        <f>TRUNC((E$18)*$C$24,2)</f>
        <v>817.02</v>
      </c>
    </row>
    <row r="25" spans="1:5">
      <c r="A25" s="12" t="s">
        <v>8</v>
      </c>
      <c r="B25" s="13" t="s">
        <v>153</v>
      </c>
      <c r="C25" s="257">
        <v>0</v>
      </c>
      <c r="D25" s="184">
        <f>TRUNC((D18)*C25,2)</f>
        <v>0</v>
      </c>
      <c r="E25" s="184">
        <f>TRUNC((E18)*D25,2)</f>
        <v>0</v>
      </c>
    </row>
    <row r="26" spans="1:5">
      <c r="A26" s="10" t="s">
        <v>10</v>
      </c>
      <c r="B26" s="20" t="s">
        <v>154</v>
      </c>
      <c r="C26" s="257">
        <v>0.2</v>
      </c>
      <c r="D26" s="185"/>
      <c r="E26" s="185">
        <f>SUM(E23:E25)/220*C26*15*7</f>
        <v>337.95013636363637</v>
      </c>
    </row>
    <row r="27" spans="1:5">
      <c r="A27" s="10" t="s">
        <v>12</v>
      </c>
      <c r="B27" s="20" t="s">
        <v>491</v>
      </c>
      <c r="C27" s="257">
        <v>0.2</v>
      </c>
      <c r="D27" s="185"/>
      <c r="E27" s="185">
        <f>SUM(E23:E25)/220*C27*15*1</f>
        <v>48.278590909090909</v>
      </c>
    </row>
    <row r="28" spans="1:5">
      <c r="A28" s="10" t="s">
        <v>21</v>
      </c>
      <c r="B28" s="20" t="s">
        <v>229</v>
      </c>
      <c r="C28" s="257">
        <v>0</v>
      </c>
      <c r="D28" s="185">
        <v>0</v>
      </c>
      <c r="E28" s="185">
        <v>0</v>
      </c>
    </row>
    <row r="29" spans="1:5" ht="15" customHeight="1">
      <c r="A29" s="564" t="s">
        <v>84</v>
      </c>
      <c r="B29" s="565"/>
      <c r="C29" s="566"/>
      <c r="D29" s="280">
        <f>TRUNC(SUM(D23:D28),2)</f>
        <v>3540.43</v>
      </c>
      <c r="E29" s="280">
        <f>TRUNC(SUM(E23:E28),2)</f>
        <v>3926.65</v>
      </c>
    </row>
    <row r="30" spans="1:5">
      <c r="A30" s="8"/>
      <c r="B30" s="8"/>
      <c r="C30" s="2"/>
      <c r="D30" s="232"/>
      <c r="E30" s="232"/>
    </row>
    <row r="31" spans="1:5" ht="18.75">
      <c r="A31" s="607" t="s">
        <v>94</v>
      </c>
      <c r="B31" s="607"/>
      <c r="C31" s="607"/>
      <c r="D31" s="607"/>
      <c r="E31" s="607"/>
    </row>
    <row r="32" spans="1:5" ht="18.75">
      <c r="A32" s="608" t="s">
        <v>23</v>
      </c>
      <c r="B32" s="608"/>
      <c r="C32" s="608"/>
      <c r="D32" s="608"/>
      <c r="E32" s="608"/>
    </row>
    <row r="33" spans="1:5">
      <c r="A33" s="24" t="s">
        <v>24</v>
      </c>
      <c r="B33" s="24" t="s">
        <v>25</v>
      </c>
      <c r="C33" s="230" t="s">
        <v>86</v>
      </c>
      <c r="D33" s="256" t="s">
        <v>87</v>
      </c>
      <c r="E33" s="256" t="s">
        <v>87</v>
      </c>
    </row>
    <row r="34" spans="1:5">
      <c r="A34" s="40" t="s">
        <v>3</v>
      </c>
      <c r="B34" s="38" t="s">
        <v>26</v>
      </c>
      <c r="C34" s="266">
        <v>8.3299999999999999E-2</v>
      </c>
      <c r="D34" s="240">
        <f>TRUNC($D29*$C34,2)</f>
        <v>294.91000000000003</v>
      </c>
      <c r="E34" s="240">
        <f>TRUNC(E$29*$C34,2)</f>
        <v>327.08</v>
      </c>
    </row>
    <row r="35" spans="1:5">
      <c r="A35" s="40" t="s">
        <v>5</v>
      </c>
      <c r="B35" s="38" t="s">
        <v>27</v>
      </c>
      <c r="C35" s="266">
        <v>2.7799999999999998E-2</v>
      </c>
      <c r="D35" s="240">
        <f>TRUNC(D$29*C35,2)</f>
        <v>98.42</v>
      </c>
      <c r="E35" s="240">
        <f>TRUNC(E$29*$C35,2)</f>
        <v>109.16</v>
      </c>
    </row>
    <row r="36" spans="1:5">
      <c r="A36" s="569" t="s">
        <v>85</v>
      </c>
      <c r="B36" s="569"/>
      <c r="C36" s="260">
        <f>TRUNC(SUM(C34:C35),5)</f>
        <v>0.1111</v>
      </c>
      <c r="D36" s="236">
        <f>TRUNC(SUM(D34:D35),2)</f>
        <v>393.33</v>
      </c>
      <c r="E36" s="236">
        <f>TRUNC(SUM(E34:E35),2)</f>
        <v>436.24</v>
      </c>
    </row>
    <row r="37" spans="1:5" ht="30">
      <c r="A37" s="40" t="s">
        <v>8</v>
      </c>
      <c r="B37" s="38" t="s">
        <v>218</v>
      </c>
      <c r="C37" s="266">
        <f>C36*C50</f>
        <v>4.4217800000000002E-2</v>
      </c>
      <c r="D37" s="240">
        <f>TRUNC(D$29*C37,2)</f>
        <v>156.55000000000001</v>
      </c>
      <c r="E37" s="240">
        <f>TRUNC(E$29*$C37,2)</f>
        <v>173.62</v>
      </c>
    </row>
    <row r="38" spans="1:5">
      <c r="A38" s="569" t="s">
        <v>28</v>
      </c>
      <c r="B38" s="569"/>
      <c r="C38" s="260">
        <f>TRUNC(SUM(C36:C37),5)</f>
        <v>0.15531</v>
      </c>
      <c r="D38" s="236">
        <f>TRUNC(SUM(D36:D37),2)</f>
        <v>549.88</v>
      </c>
      <c r="E38" s="236">
        <f>TRUNC(SUM(E36:E37),2)</f>
        <v>609.86</v>
      </c>
    </row>
    <row r="39" spans="1:5">
      <c r="A39" s="14"/>
      <c r="B39" s="14"/>
      <c r="C39" s="229"/>
      <c r="D39" s="229"/>
      <c r="E39" s="229"/>
    </row>
    <row r="40" spans="1:5" ht="18.75">
      <c r="A40" s="609" t="s">
        <v>29</v>
      </c>
      <c r="B40" s="609"/>
      <c r="C40" s="609"/>
      <c r="D40" s="609"/>
      <c r="E40" s="609"/>
    </row>
    <row r="41" spans="1:5">
      <c r="A41" s="16" t="s">
        <v>30</v>
      </c>
      <c r="B41" s="23" t="s">
        <v>31</v>
      </c>
      <c r="C41" s="237" t="s">
        <v>86</v>
      </c>
      <c r="D41" s="237" t="s">
        <v>87</v>
      </c>
      <c r="E41" s="237" t="s">
        <v>87</v>
      </c>
    </row>
    <row r="42" spans="1:5">
      <c r="A42" s="22" t="s">
        <v>3</v>
      </c>
      <c r="B42" s="19" t="s">
        <v>32</v>
      </c>
      <c r="C42" s="261">
        <f>MC!D17</f>
        <v>0.2</v>
      </c>
      <c r="D42" s="234">
        <f>TRUNC(D$29*C42,2)</f>
        <v>708.08</v>
      </c>
      <c r="E42" s="234">
        <f t="shared" ref="E42:E49" si="0">TRUNC(E$29*$C42,2)</f>
        <v>785.33</v>
      </c>
    </row>
    <row r="43" spans="1:5">
      <c r="A43" s="22" t="s">
        <v>5</v>
      </c>
      <c r="B43" s="19" t="s">
        <v>33</v>
      </c>
      <c r="C43" s="261">
        <f>MC!D18</f>
        <v>2.5000000000000001E-2</v>
      </c>
      <c r="D43" s="234">
        <f t="shared" ref="D43:D49" si="1">TRUNC(D$29*C43,2)</f>
        <v>88.51</v>
      </c>
      <c r="E43" s="234">
        <f t="shared" si="0"/>
        <v>98.16</v>
      </c>
    </row>
    <row r="44" spans="1:5">
      <c r="A44" s="22" t="s">
        <v>8</v>
      </c>
      <c r="B44" s="19" t="s">
        <v>34</v>
      </c>
      <c r="C44" s="261">
        <f>MC!D19</f>
        <v>0.06</v>
      </c>
      <c r="D44" s="234">
        <f>TRUNC(D$29*C44,2)</f>
        <v>212.42</v>
      </c>
      <c r="E44" s="234">
        <f t="shared" si="0"/>
        <v>235.59</v>
      </c>
    </row>
    <row r="45" spans="1:5">
      <c r="A45" s="22" t="s">
        <v>10</v>
      </c>
      <c r="B45" s="19" t="s">
        <v>35</v>
      </c>
      <c r="C45" s="261">
        <f>MC!D21</f>
        <v>1.4999999999999999E-2</v>
      </c>
      <c r="D45" s="234">
        <f t="shared" si="1"/>
        <v>53.1</v>
      </c>
      <c r="E45" s="234">
        <f t="shared" si="0"/>
        <v>58.89</v>
      </c>
    </row>
    <row r="46" spans="1:5">
      <c r="A46" s="22" t="s">
        <v>12</v>
      </c>
      <c r="B46" s="19" t="s">
        <v>36</v>
      </c>
      <c r="C46" s="261">
        <f>MC!D22</f>
        <v>0.01</v>
      </c>
      <c r="D46" s="234">
        <f t="shared" si="1"/>
        <v>35.4</v>
      </c>
      <c r="E46" s="234">
        <f t="shared" si="0"/>
        <v>39.26</v>
      </c>
    </row>
    <row r="47" spans="1:5">
      <c r="A47" s="22" t="s">
        <v>21</v>
      </c>
      <c r="B47" s="19" t="s">
        <v>37</v>
      </c>
      <c r="C47" s="261">
        <f>MC!D23</f>
        <v>6.0000000000000001E-3</v>
      </c>
      <c r="D47" s="234">
        <f t="shared" si="1"/>
        <v>21.24</v>
      </c>
      <c r="E47" s="234">
        <f t="shared" si="0"/>
        <v>23.55</v>
      </c>
    </row>
    <row r="48" spans="1:5">
      <c r="A48" s="22" t="s">
        <v>22</v>
      </c>
      <c r="B48" s="19" t="s">
        <v>38</v>
      </c>
      <c r="C48" s="261">
        <f>MC!D24</f>
        <v>2E-3</v>
      </c>
      <c r="D48" s="234">
        <f t="shared" si="1"/>
        <v>7.08</v>
      </c>
      <c r="E48" s="234">
        <f t="shared" si="0"/>
        <v>7.85</v>
      </c>
    </row>
    <row r="49" spans="1:5">
      <c r="A49" s="22" t="s">
        <v>39</v>
      </c>
      <c r="B49" s="19" t="s">
        <v>40</v>
      </c>
      <c r="C49" s="261">
        <f>MC!D25</f>
        <v>0.08</v>
      </c>
      <c r="D49" s="234">
        <f t="shared" si="1"/>
        <v>283.23</v>
      </c>
      <c r="E49" s="234">
        <f t="shared" si="0"/>
        <v>314.13</v>
      </c>
    </row>
    <row r="50" spans="1:5" ht="15" customHeight="1">
      <c r="A50" s="571" t="s">
        <v>41</v>
      </c>
      <c r="B50" s="571"/>
      <c r="C50" s="262">
        <f>TRUNC(SUM(C42:C49),5)</f>
        <v>0.39800000000000002</v>
      </c>
      <c r="D50" s="238">
        <f>TRUNC(SUM(D42:D49),2)</f>
        <v>1409.06</v>
      </c>
      <c r="E50" s="238">
        <f>TRUNC(SUM(E42:E49),2)</f>
        <v>1562.76</v>
      </c>
    </row>
    <row r="51" spans="1:5">
      <c r="A51" s="7"/>
      <c r="B51" s="7"/>
      <c r="C51" s="4"/>
      <c r="D51" s="232"/>
      <c r="E51" s="232"/>
    </row>
    <row r="52" spans="1:5" ht="18.75">
      <c r="A52" s="609" t="s">
        <v>42</v>
      </c>
      <c r="B52" s="609"/>
      <c r="C52" s="609"/>
      <c r="D52" s="609"/>
      <c r="E52" s="609"/>
    </row>
    <row r="53" spans="1:5">
      <c r="A53" s="318" t="s">
        <v>43</v>
      </c>
      <c r="B53" s="611" t="s">
        <v>44</v>
      </c>
      <c r="C53" s="612"/>
      <c r="D53" s="319" t="s">
        <v>87</v>
      </c>
      <c r="E53" s="319" t="s">
        <v>87</v>
      </c>
    </row>
    <row r="54" spans="1:5">
      <c r="A54" s="26" t="s">
        <v>3</v>
      </c>
      <c r="B54" s="309" t="s">
        <v>88</v>
      </c>
      <c r="C54" s="182">
        <f>MC!C32</f>
        <v>270</v>
      </c>
      <c r="D54" s="180">
        <f>TRUNC(($C54)-(D$23*6%),2)</f>
        <v>106.59</v>
      </c>
      <c r="E54" s="180">
        <f>TRUNC(($C54)-(E$23*6%),2)</f>
        <v>106.59</v>
      </c>
    </row>
    <row r="55" spans="1:5">
      <c r="A55" s="26" t="s">
        <v>5</v>
      </c>
      <c r="B55" s="25" t="s">
        <v>89</v>
      </c>
      <c r="C55" s="263">
        <f>MC!C36</f>
        <v>46.422599999999996</v>
      </c>
      <c r="D55" s="180">
        <f>TRUNC($C55*D$12,2)</f>
        <v>696.33</v>
      </c>
      <c r="E55" s="180">
        <f>TRUNC($C55*E$12,2)</f>
        <v>696.33</v>
      </c>
    </row>
    <row r="56" spans="1:5">
      <c r="A56" s="26" t="s">
        <v>8</v>
      </c>
      <c r="B56" s="25" t="s">
        <v>217</v>
      </c>
      <c r="C56" s="182">
        <f>MC!C43</f>
        <v>164.05</v>
      </c>
      <c r="D56" s="182">
        <f>C56</f>
        <v>164.05</v>
      </c>
      <c r="E56" s="182">
        <f>C56</f>
        <v>164.05</v>
      </c>
    </row>
    <row r="57" spans="1:5">
      <c r="A57" s="26" t="s">
        <v>10</v>
      </c>
      <c r="B57" s="25" t="s">
        <v>90</v>
      </c>
      <c r="C57" s="182">
        <f>MC!C49</f>
        <v>10.83</v>
      </c>
      <c r="D57" s="182">
        <f>C57</f>
        <v>10.83</v>
      </c>
      <c r="E57" s="182">
        <f>C57</f>
        <v>10.83</v>
      </c>
    </row>
    <row r="58" spans="1:5">
      <c r="A58" s="17" t="s">
        <v>45</v>
      </c>
      <c r="B58" s="34" t="s">
        <v>162</v>
      </c>
      <c r="C58" s="264">
        <f>MC!C55</f>
        <v>17.32</v>
      </c>
      <c r="D58" s="264">
        <f>C58</f>
        <v>17.32</v>
      </c>
      <c r="E58" s="264">
        <f>C58</f>
        <v>17.32</v>
      </c>
    </row>
    <row r="59" spans="1:5">
      <c r="A59" s="17" t="s">
        <v>469</v>
      </c>
      <c r="B59" s="34" t="s">
        <v>492</v>
      </c>
      <c r="C59" s="264">
        <f>MC!C58</f>
        <v>18.170000000000002</v>
      </c>
      <c r="D59" s="181">
        <f>TRUNC(C59,2)</f>
        <v>18.170000000000002</v>
      </c>
      <c r="E59" s="181">
        <f>TRUNC(D59,2)</f>
        <v>18.170000000000002</v>
      </c>
    </row>
    <row r="60" spans="1:5">
      <c r="A60" s="569" t="s">
        <v>41</v>
      </c>
      <c r="B60" s="569"/>
      <c r="C60" s="569"/>
      <c r="D60" s="231">
        <f>TRUNC(SUM(D54:D59),2)</f>
        <v>1013.29</v>
      </c>
      <c r="E60" s="231">
        <f>TRUNC(SUM(E54:E59),2)</f>
        <v>1013.29</v>
      </c>
    </row>
    <row r="61" spans="1:5">
      <c r="A61" s="8"/>
      <c r="B61" s="8"/>
      <c r="C61" s="2"/>
      <c r="D61" s="232"/>
      <c r="E61" s="232"/>
    </row>
    <row r="62" spans="1:5" ht="18.75">
      <c r="A62" s="607" t="s">
        <v>46</v>
      </c>
      <c r="B62" s="607"/>
      <c r="C62" s="607"/>
      <c r="D62" s="607"/>
      <c r="E62" s="607"/>
    </row>
    <row r="63" spans="1:5">
      <c r="A63" s="11">
        <v>2</v>
      </c>
      <c r="B63" s="574" t="s">
        <v>47</v>
      </c>
      <c r="C63" s="574"/>
      <c r="D63" s="230" t="s">
        <v>87</v>
      </c>
      <c r="E63" s="230" t="s">
        <v>87</v>
      </c>
    </row>
    <row r="64" spans="1:5">
      <c r="A64" s="10" t="s">
        <v>24</v>
      </c>
      <c r="B64" s="575" t="s">
        <v>25</v>
      </c>
      <c r="C64" s="575"/>
      <c r="D64" s="240">
        <f>TRUNC(D38,2)</f>
        <v>549.88</v>
      </c>
      <c r="E64" s="240">
        <f>TRUNC(E38,2)</f>
        <v>609.86</v>
      </c>
    </row>
    <row r="65" spans="1:5">
      <c r="A65" s="10" t="s">
        <v>30</v>
      </c>
      <c r="B65" s="575" t="s">
        <v>31</v>
      </c>
      <c r="C65" s="575"/>
      <c r="D65" s="240">
        <f>TRUNC(D50,2)</f>
        <v>1409.06</v>
      </c>
      <c r="E65" s="240">
        <f>TRUNC(E50,2)</f>
        <v>1562.76</v>
      </c>
    </row>
    <row r="66" spans="1:5">
      <c r="A66" s="10" t="s">
        <v>43</v>
      </c>
      <c r="B66" s="575" t="s">
        <v>44</v>
      </c>
      <c r="C66" s="575"/>
      <c r="D66" s="240">
        <f>TRUNC(D60,2)</f>
        <v>1013.29</v>
      </c>
      <c r="E66" s="240">
        <f>TRUNC(E60,2)</f>
        <v>1013.29</v>
      </c>
    </row>
    <row r="67" spans="1:5" ht="15" customHeight="1">
      <c r="A67" s="576" t="s">
        <v>48</v>
      </c>
      <c r="B67" s="576"/>
      <c r="C67" s="576"/>
      <c r="D67" s="279">
        <f>TRUNC(SUM(D64:D66),2)</f>
        <v>2972.23</v>
      </c>
      <c r="E67" s="279">
        <f>TRUNC(SUM(E64:E66),2)</f>
        <v>3185.91</v>
      </c>
    </row>
    <row r="68" spans="1:5">
      <c r="A68" s="8"/>
      <c r="B68" s="8"/>
      <c r="C68" s="2"/>
      <c r="D68" s="232"/>
      <c r="E68" s="232"/>
    </row>
    <row r="69" spans="1:5" ht="18.75">
      <c r="A69" s="610" t="s">
        <v>49</v>
      </c>
      <c r="B69" s="610"/>
      <c r="C69" s="610"/>
      <c r="D69" s="610"/>
      <c r="E69" s="610"/>
    </row>
    <row r="70" spans="1:5">
      <c r="A70" s="11">
        <v>3</v>
      </c>
      <c r="B70" s="11" t="s">
        <v>50</v>
      </c>
      <c r="C70" s="230" t="s">
        <v>86</v>
      </c>
      <c r="D70" s="230" t="s">
        <v>87</v>
      </c>
      <c r="E70" s="230" t="s">
        <v>87</v>
      </c>
    </row>
    <row r="71" spans="1:5">
      <c r="A71" s="21" t="s">
        <v>3</v>
      </c>
      <c r="B71" s="35" t="s">
        <v>51</v>
      </c>
      <c r="C71" s="265">
        <f>MC!D67</f>
        <v>8.3000000000000001E-3</v>
      </c>
      <c r="D71" s="234">
        <f>TRUNC(D$29*$C71,2)</f>
        <v>29.38</v>
      </c>
      <c r="E71" s="234">
        <f>TRUNC(E$29*$C71,2)</f>
        <v>32.590000000000003</v>
      </c>
    </row>
    <row r="72" spans="1:5">
      <c r="A72" s="26" t="s">
        <v>5</v>
      </c>
      <c r="B72" s="19" t="s">
        <v>52</v>
      </c>
      <c r="C72" s="265">
        <f>MC!D68</f>
        <v>5.9999999999999995E-4</v>
      </c>
      <c r="D72" s="234">
        <f>TRUNC(D$29*$C72,2)</f>
        <v>2.12</v>
      </c>
      <c r="E72" s="234">
        <f>TRUNC(E$29*$C72,2)</f>
        <v>2.35</v>
      </c>
    </row>
    <row r="73" spans="1:5">
      <c r="A73" s="26" t="s">
        <v>8</v>
      </c>
      <c r="B73" s="19" t="s">
        <v>53</v>
      </c>
      <c r="C73" s="265">
        <v>0.4</v>
      </c>
      <c r="D73" s="234">
        <f>0.4*0.08*0.1*(D$29+D$34+D$35)</f>
        <v>12.588032</v>
      </c>
      <c r="E73" s="234">
        <f>0.4*0.08*0.1*(E$29+E$34+E$35)</f>
        <v>13.961248000000001</v>
      </c>
    </row>
    <row r="74" spans="1:5">
      <c r="A74" s="26" t="s">
        <v>10</v>
      </c>
      <c r="B74" s="19" t="s">
        <v>122</v>
      </c>
      <c r="C74" s="265">
        <f>MC!D70</f>
        <v>1.9400000000000001E-2</v>
      </c>
      <c r="D74" s="234">
        <f t="shared" ref="D74:D75" si="2">TRUNC(D$29*$C74,2)</f>
        <v>68.680000000000007</v>
      </c>
      <c r="E74" s="234">
        <f>TRUNC(E$29*$C74,2)</f>
        <v>76.17</v>
      </c>
    </row>
    <row r="75" spans="1:5" ht="30">
      <c r="A75" s="26" t="s">
        <v>12</v>
      </c>
      <c r="B75" s="19" t="s">
        <v>91</v>
      </c>
      <c r="C75" s="265">
        <f>MC!D71</f>
        <v>7.7000000000000002E-3</v>
      </c>
      <c r="D75" s="234">
        <f t="shared" si="2"/>
        <v>27.26</v>
      </c>
      <c r="E75" s="234">
        <f>TRUNC(E$29*$C75,2)</f>
        <v>30.23</v>
      </c>
    </row>
    <row r="76" spans="1:5">
      <c r="A76" s="39" t="s">
        <v>21</v>
      </c>
      <c r="B76" s="18" t="s">
        <v>54</v>
      </c>
      <c r="C76" s="273">
        <v>0.4</v>
      </c>
      <c r="D76" s="274">
        <f>0.08*0.4*(D29+D34+D35)</f>
        <v>125.88032</v>
      </c>
      <c r="E76" s="274">
        <f>0.08*0.4*(E$29+E$34+E$35)</f>
        <v>139.61248000000001</v>
      </c>
    </row>
    <row r="77" spans="1:5" ht="15" customHeight="1">
      <c r="A77" s="578" t="s">
        <v>41</v>
      </c>
      <c r="B77" s="578"/>
      <c r="C77" s="276">
        <f>TRUNC(SUM(C71:C76),5)</f>
        <v>0.83599999999999997</v>
      </c>
      <c r="D77" s="277">
        <f>TRUNC(SUM(D71:D76),2)</f>
        <v>265.89999999999998</v>
      </c>
      <c r="E77" s="277">
        <f>TRUNC(SUM(E71:E76),2)</f>
        <v>294.91000000000003</v>
      </c>
    </row>
    <row r="78" spans="1:5">
      <c r="A78" s="36"/>
      <c r="B78" s="36"/>
      <c r="C78" s="241"/>
      <c r="D78" s="241"/>
      <c r="E78" s="241"/>
    </row>
    <row r="79" spans="1:5" ht="18.75">
      <c r="A79" s="623" t="s">
        <v>55</v>
      </c>
      <c r="B79" s="623"/>
      <c r="C79" s="623"/>
      <c r="D79" s="623"/>
      <c r="E79" s="623"/>
    </row>
    <row r="80" spans="1:5" ht="18.75">
      <c r="A80" s="624" t="s">
        <v>56</v>
      </c>
      <c r="B80" s="624"/>
      <c r="C80" s="624"/>
      <c r="D80" s="624"/>
      <c r="E80" s="624"/>
    </row>
    <row r="81" spans="1:5">
      <c r="A81" s="37" t="s">
        <v>57</v>
      </c>
      <c r="B81" s="37" t="s">
        <v>58</v>
      </c>
      <c r="C81" s="242" t="s">
        <v>86</v>
      </c>
      <c r="D81" s="242" t="s">
        <v>87</v>
      </c>
      <c r="E81" s="242" t="s">
        <v>87</v>
      </c>
    </row>
    <row r="82" spans="1:5">
      <c r="A82" s="10" t="s">
        <v>3</v>
      </c>
      <c r="B82" s="38" t="s">
        <v>59</v>
      </c>
      <c r="C82" s="266">
        <f>MC!D77</f>
        <v>8.3299999999999999E-2</v>
      </c>
      <c r="D82" s="234">
        <f t="shared" ref="D82:E86" si="3">TRUNC(D$29*$C82,2)</f>
        <v>294.91000000000003</v>
      </c>
      <c r="E82" s="234">
        <f t="shared" si="3"/>
        <v>327.08</v>
      </c>
    </row>
    <row r="83" spans="1:5">
      <c r="A83" s="10" t="s">
        <v>5</v>
      </c>
      <c r="B83" s="38" t="s">
        <v>60</v>
      </c>
      <c r="C83" s="266">
        <f>MC!D78</f>
        <v>1.3899999999999999E-2</v>
      </c>
      <c r="D83" s="234">
        <f t="shared" si="3"/>
        <v>49.21</v>
      </c>
      <c r="E83" s="234">
        <f t="shared" si="3"/>
        <v>54.58</v>
      </c>
    </row>
    <row r="84" spans="1:5">
      <c r="A84" s="10" t="s">
        <v>8</v>
      </c>
      <c r="B84" s="38" t="s">
        <v>61</v>
      </c>
      <c r="C84" s="266">
        <f>MC!D79</f>
        <v>6.9999999999999999E-4</v>
      </c>
      <c r="D84" s="234">
        <f t="shared" si="3"/>
        <v>2.4700000000000002</v>
      </c>
      <c r="E84" s="234">
        <f t="shared" si="3"/>
        <v>2.74</v>
      </c>
    </row>
    <row r="85" spans="1:5">
      <c r="A85" s="10" t="s">
        <v>10</v>
      </c>
      <c r="B85" s="38" t="s">
        <v>62</v>
      </c>
      <c r="C85" s="266">
        <f>MC!D80</f>
        <v>8.3333333333333332E-3</v>
      </c>
      <c r="D85" s="234">
        <f t="shared" si="3"/>
        <v>29.5</v>
      </c>
      <c r="E85" s="234">
        <f t="shared" si="3"/>
        <v>32.72</v>
      </c>
    </row>
    <row r="86" spans="1:5">
      <c r="A86" s="83" t="s">
        <v>12</v>
      </c>
      <c r="B86" s="84" t="s">
        <v>63</v>
      </c>
      <c r="C86" s="266">
        <f>MC!D81</f>
        <v>3.7037037037037035E-4</v>
      </c>
      <c r="D86" s="234">
        <f t="shared" si="3"/>
        <v>1.31</v>
      </c>
      <c r="E86" s="234">
        <f t="shared" si="3"/>
        <v>1.45</v>
      </c>
    </row>
    <row r="87" spans="1:5" ht="15" customHeight="1">
      <c r="A87" s="581" t="s">
        <v>155</v>
      </c>
      <c r="B87" s="581"/>
      <c r="C87" s="260">
        <f>TRUNC(SUM(C82:C86),5)</f>
        <v>0.1066</v>
      </c>
      <c r="D87" s="236">
        <f>TRUNC(SUM(D82:D86),2)</f>
        <v>377.4</v>
      </c>
      <c r="E87" s="236">
        <f>TRUNC(SUM(E82:E86),2)</f>
        <v>418.57</v>
      </c>
    </row>
    <row r="88" spans="1:5">
      <c r="A88" s="10" t="s">
        <v>21</v>
      </c>
      <c r="B88" s="38" t="s">
        <v>219</v>
      </c>
      <c r="C88" s="266">
        <f>C87*C50</f>
        <v>4.2426800000000001E-2</v>
      </c>
      <c r="D88" s="234">
        <f>TRUNC(D$29*$C88,2)</f>
        <v>150.19999999999999</v>
      </c>
      <c r="E88" s="234">
        <f>TRUNC(E$29*$C88,2)</f>
        <v>166.59</v>
      </c>
    </row>
    <row r="89" spans="1:5" ht="15" customHeight="1">
      <c r="A89" s="581" t="s">
        <v>41</v>
      </c>
      <c r="B89" s="581"/>
      <c r="C89" s="260">
        <f>TRUNC(SUM(C87:C88),5)</f>
        <v>0.14902000000000001</v>
      </c>
      <c r="D89" s="236">
        <f>TRUNC(SUM(D87:D88),2)</f>
        <v>527.6</v>
      </c>
      <c r="E89" s="236">
        <f>TRUNC(SUM(E87:E88),2)</f>
        <v>585.16</v>
      </c>
    </row>
    <row r="90" spans="1:5">
      <c r="A90" s="7"/>
      <c r="B90" s="7"/>
      <c r="C90" s="4"/>
      <c r="D90" s="232"/>
      <c r="E90" s="232"/>
    </row>
    <row r="91" spans="1:5" ht="18.75">
      <c r="A91" s="622" t="s">
        <v>64</v>
      </c>
      <c r="B91" s="622"/>
      <c r="C91" s="622"/>
      <c r="D91" s="622"/>
      <c r="E91" s="622"/>
    </row>
    <row r="92" spans="1:5">
      <c r="A92" s="16" t="s">
        <v>65</v>
      </c>
      <c r="B92" s="16" t="s">
        <v>66</v>
      </c>
      <c r="C92" s="237" t="s">
        <v>86</v>
      </c>
      <c r="D92" s="237" t="s">
        <v>87</v>
      </c>
      <c r="E92" s="237" t="s">
        <v>87</v>
      </c>
    </row>
    <row r="93" spans="1:5" ht="30">
      <c r="A93" s="39" t="s">
        <v>3</v>
      </c>
      <c r="B93" s="18" t="s">
        <v>67</v>
      </c>
      <c r="C93" s="267">
        <v>0</v>
      </c>
      <c r="D93" s="243">
        <v>0</v>
      </c>
      <c r="E93" s="243">
        <v>0</v>
      </c>
    </row>
    <row r="94" spans="1:5" ht="15" customHeight="1">
      <c r="A94" s="581" t="s">
        <v>41</v>
      </c>
      <c r="B94" s="581"/>
      <c r="C94" s="268">
        <f>TRUNC(SUM(C93),4)</f>
        <v>0</v>
      </c>
      <c r="D94" s="244">
        <f>TRUNC(D93,2)</f>
        <v>0</v>
      </c>
      <c r="E94" s="244">
        <f>TRUNC(E93,2)</f>
        <v>0</v>
      </c>
    </row>
    <row r="95" spans="1:5">
      <c r="A95" s="8"/>
      <c r="B95" s="8"/>
      <c r="C95" s="2"/>
      <c r="D95" s="232"/>
      <c r="E95" s="232"/>
    </row>
    <row r="96" spans="1:5" ht="18.75">
      <c r="A96" s="623" t="s">
        <v>68</v>
      </c>
      <c r="B96" s="623"/>
      <c r="C96" s="623"/>
      <c r="D96" s="623"/>
      <c r="E96" s="623"/>
    </row>
    <row r="97" spans="1:5">
      <c r="A97" s="11">
        <v>4</v>
      </c>
      <c r="B97" s="581" t="s">
        <v>69</v>
      </c>
      <c r="C97" s="581"/>
      <c r="D97" s="230" t="s">
        <v>87</v>
      </c>
      <c r="E97" s="230" t="s">
        <v>87</v>
      </c>
    </row>
    <row r="98" spans="1:5">
      <c r="A98" s="88" t="s">
        <v>57</v>
      </c>
      <c r="B98" s="575" t="s">
        <v>58</v>
      </c>
      <c r="C98" s="575"/>
      <c r="D98" s="245">
        <f>TRUNC(D89,2)</f>
        <v>527.6</v>
      </c>
      <c r="E98" s="245">
        <f>TRUNC(E89,2)</f>
        <v>585.16</v>
      </c>
    </row>
    <row r="99" spans="1:5">
      <c r="A99" s="88" t="s">
        <v>65</v>
      </c>
      <c r="B99" s="575" t="s">
        <v>66</v>
      </c>
      <c r="C99" s="575"/>
      <c r="D99" s="246">
        <v>0</v>
      </c>
      <c r="E99" s="246">
        <v>0</v>
      </c>
    </row>
    <row r="100" spans="1:5" ht="15" customHeight="1">
      <c r="A100" s="583" t="s">
        <v>41</v>
      </c>
      <c r="B100" s="583"/>
      <c r="C100" s="583"/>
      <c r="D100" s="272">
        <f>TRUNC(SUM(D98:D99),2)</f>
        <v>527.6</v>
      </c>
      <c r="E100" s="272">
        <f>TRUNC(SUM(E98:E99),2)</f>
        <v>585.16</v>
      </c>
    </row>
    <row r="101" spans="1:5">
      <c r="A101" s="8"/>
      <c r="B101" s="8"/>
      <c r="C101" s="2"/>
      <c r="D101" s="232"/>
      <c r="E101" s="232"/>
    </row>
    <row r="102" spans="1:5" ht="18.75">
      <c r="A102" s="625" t="s">
        <v>80</v>
      </c>
      <c r="B102" s="626"/>
      <c r="C102" s="626"/>
      <c r="D102" s="626"/>
      <c r="E102" s="626"/>
    </row>
    <row r="103" spans="1:5">
      <c r="A103" s="41">
        <v>5</v>
      </c>
      <c r="B103" s="585" t="s">
        <v>92</v>
      </c>
      <c r="C103" s="586"/>
      <c r="D103" s="247" t="s">
        <v>87</v>
      </c>
      <c r="E103" s="247" t="s">
        <v>87</v>
      </c>
    </row>
    <row r="104" spans="1:5">
      <c r="A104" s="40" t="s">
        <v>3</v>
      </c>
      <c r="B104" s="587" t="s">
        <v>167</v>
      </c>
      <c r="C104" s="587"/>
      <c r="D104" s="181">
        <f>Unif_Equip!E51</f>
        <v>66.260000000000005</v>
      </c>
      <c r="E104" s="181">
        <f>Unif_Equip!E51</f>
        <v>66.260000000000005</v>
      </c>
    </row>
    <row r="105" spans="1:5">
      <c r="A105" s="40" t="s">
        <v>5</v>
      </c>
      <c r="B105" s="587" t="s">
        <v>657</v>
      </c>
      <c r="C105" s="587"/>
      <c r="D105" s="181">
        <f>Unif_Equip!F193</f>
        <v>4.0866666666666669</v>
      </c>
      <c r="E105" s="181">
        <f>Unif_Equip!F193</f>
        <v>4.0866666666666669</v>
      </c>
    </row>
    <row r="106" spans="1:5">
      <c r="A106" s="40" t="s">
        <v>8</v>
      </c>
      <c r="B106" s="588" t="s">
        <v>159</v>
      </c>
      <c r="C106" s="589"/>
      <c r="D106" s="181">
        <f>Unif_Equip!I130</f>
        <v>32.33</v>
      </c>
      <c r="E106" s="181">
        <f>Unif_Equip!I130</f>
        <v>32.33</v>
      </c>
    </row>
    <row r="107" spans="1:5">
      <c r="A107" s="40" t="s">
        <v>12</v>
      </c>
      <c r="B107" s="588" t="s">
        <v>151</v>
      </c>
      <c r="C107" s="589"/>
      <c r="D107" s="181"/>
      <c r="E107" s="181"/>
    </row>
    <row r="108" spans="1:5">
      <c r="A108" s="613" t="s">
        <v>41</v>
      </c>
      <c r="B108" s="613"/>
      <c r="C108" s="613"/>
      <c r="D108" s="320">
        <f>TRUNC(SUM(D104:D107),2)</f>
        <v>102.67</v>
      </c>
      <c r="E108" s="320">
        <f>TRUNC(SUM(E104:E107),2)</f>
        <v>102.67</v>
      </c>
    </row>
    <row r="109" spans="1:5">
      <c r="A109" s="8"/>
      <c r="B109" s="8"/>
      <c r="C109" s="2"/>
      <c r="D109" s="3"/>
      <c r="E109" s="3"/>
    </row>
    <row r="110" spans="1:5" ht="18.75">
      <c r="A110" s="614" t="s">
        <v>95</v>
      </c>
      <c r="B110" s="614"/>
      <c r="C110" s="614"/>
      <c r="D110" s="614"/>
      <c r="E110" s="614"/>
    </row>
    <row r="111" spans="1:5">
      <c r="A111" s="11">
        <v>6</v>
      </c>
      <c r="B111" s="42" t="s">
        <v>70</v>
      </c>
      <c r="C111" s="230" t="s">
        <v>86</v>
      </c>
      <c r="D111" s="230" t="s">
        <v>87</v>
      </c>
      <c r="E111" s="230" t="s">
        <v>87</v>
      </c>
    </row>
    <row r="112" spans="1:5">
      <c r="A112" s="10" t="s">
        <v>3</v>
      </c>
      <c r="B112" s="38" t="s">
        <v>71</v>
      </c>
      <c r="C112" s="269">
        <v>0.06</v>
      </c>
      <c r="D112" s="240">
        <f>TRUNC((D$123+D$124+D$125+D$126+D$127)*$C112,2)</f>
        <v>444.52</v>
      </c>
      <c r="E112" s="240">
        <f>TRUNC((E$123+E$124+E$125+E$126+E$127)*$C112,2)</f>
        <v>485.71</v>
      </c>
    </row>
    <row r="113" spans="1:5">
      <c r="A113" s="10" t="s">
        <v>5</v>
      </c>
      <c r="B113" s="38" t="s">
        <v>72</v>
      </c>
      <c r="C113" s="269">
        <v>6.7900000000000002E-2</v>
      </c>
      <c r="D113" s="240">
        <f>TRUNC((D$123+D$124+D$125+D$126+D$127)*$C113,2)</f>
        <v>503.05</v>
      </c>
      <c r="E113" s="240">
        <f>TRUNC((E$123+E$124+E$125+E$126+E$127)*$C113,2)</f>
        <v>549.66999999999996</v>
      </c>
    </row>
    <row r="114" spans="1:5">
      <c r="A114" s="11" t="s">
        <v>8</v>
      </c>
      <c r="B114" s="43" t="s">
        <v>73</v>
      </c>
      <c r="C114" s="270">
        <f>TRUNC(SUM(C115:C117),4)</f>
        <v>0.14249999999999999</v>
      </c>
      <c r="D114" s="248"/>
      <c r="E114" s="248"/>
    </row>
    <row r="115" spans="1:5">
      <c r="A115" s="10"/>
      <c r="B115" s="38" t="s">
        <v>458</v>
      </c>
      <c r="C115" s="269">
        <f>MC!$C$95</f>
        <v>1.6500000000000001E-2</v>
      </c>
      <c r="D115" s="240">
        <f t="shared" ref="D115:E117" si="4">TRUNC(((D$128+D$112+D$113)/(1-($C$114)))*$C115,2)</f>
        <v>160.79</v>
      </c>
      <c r="E115" s="240">
        <f t="shared" si="4"/>
        <v>175.69</v>
      </c>
    </row>
    <row r="116" spans="1:5">
      <c r="A116" s="10"/>
      <c r="B116" s="38" t="s">
        <v>459</v>
      </c>
      <c r="C116" s="269">
        <f>MC!$C$94</f>
        <v>7.5999999999999998E-2</v>
      </c>
      <c r="D116" s="240">
        <f t="shared" si="4"/>
        <v>740.62</v>
      </c>
      <c r="E116" s="240">
        <f t="shared" si="4"/>
        <v>809.24</v>
      </c>
    </row>
    <row r="117" spans="1:5">
      <c r="A117" s="38"/>
      <c r="B117" s="38" t="s">
        <v>460</v>
      </c>
      <c r="C117" s="269">
        <f>MC!$C$93</f>
        <v>0.05</v>
      </c>
      <c r="D117" s="240">
        <f t="shared" si="4"/>
        <v>487.25</v>
      </c>
      <c r="E117" s="240">
        <f t="shared" si="4"/>
        <v>532.4</v>
      </c>
    </row>
    <row r="118" spans="1:5" ht="15" customHeight="1">
      <c r="A118" s="594" t="s">
        <v>75</v>
      </c>
      <c r="B118" s="594"/>
      <c r="C118" s="594"/>
      <c r="D118" s="288">
        <f>TRUNC((D112+D113+D115+D116+D117),2)</f>
        <v>2336.23</v>
      </c>
      <c r="E118" s="288">
        <f>TRUNC((E112+E113+E115+E116+E117),2)</f>
        <v>2552.71</v>
      </c>
    </row>
    <row r="119" spans="1:5">
      <c r="A119" s="33"/>
      <c r="B119" s="33"/>
      <c r="C119" s="255"/>
      <c r="D119" s="3"/>
      <c r="E119" s="3"/>
    </row>
    <row r="120" spans="1:5" ht="21">
      <c r="A120" s="615" t="s">
        <v>76</v>
      </c>
      <c r="B120" s="615"/>
      <c r="C120" s="615"/>
      <c r="D120" s="615"/>
      <c r="E120" s="615"/>
    </row>
    <row r="121" spans="1:5" ht="15" customHeight="1">
      <c r="A121" s="616" t="s">
        <v>77</v>
      </c>
      <c r="B121" s="617"/>
      <c r="C121" s="618"/>
      <c r="D121" s="301" t="str">
        <f>D16</f>
        <v>Vigilante Diurno</v>
      </c>
      <c r="E121" s="301" t="str">
        <f>E16</f>
        <v>Vigilante noturno</v>
      </c>
    </row>
    <row r="122" spans="1:5">
      <c r="A122" s="619"/>
      <c r="B122" s="620"/>
      <c r="C122" s="621"/>
      <c r="D122" s="230" t="s">
        <v>87</v>
      </c>
      <c r="E122" s="230" t="s">
        <v>87</v>
      </c>
    </row>
    <row r="123" spans="1:5">
      <c r="A123" s="281" t="s">
        <v>3</v>
      </c>
      <c r="B123" s="599" t="s">
        <v>78</v>
      </c>
      <c r="C123" s="599"/>
      <c r="D123" s="282">
        <f>TRUNC(D29,2)</f>
        <v>3540.43</v>
      </c>
      <c r="E123" s="282">
        <f>TRUNC(E29,2)</f>
        <v>3926.65</v>
      </c>
    </row>
    <row r="124" spans="1:5">
      <c r="A124" s="278" t="s">
        <v>5</v>
      </c>
      <c r="B124" s="600" t="s">
        <v>79</v>
      </c>
      <c r="C124" s="600"/>
      <c r="D124" s="283">
        <f>TRUNC(D67,2)</f>
        <v>2972.23</v>
      </c>
      <c r="E124" s="283">
        <f>TRUNC(E67,2)</f>
        <v>3185.91</v>
      </c>
    </row>
    <row r="125" spans="1:5">
      <c r="A125" s="275" t="s">
        <v>8</v>
      </c>
      <c r="B125" s="601" t="s">
        <v>49</v>
      </c>
      <c r="C125" s="601"/>
      <c r="D125" s="284">
        <f>TRUNC(D77,2)</f>
        <v>265.89999999999998</v>
      </c>
      <c r="E125" s="284">
        <f>TRUNC(E77,2)</f>
        <v>294.91000000000003</v>
      </c>
    </row>
    <row r="126" spans="1:5">
      <c r="A126" s="271" t="s">
        <v>10</v>
      </c>
      <c r="B126" s="602" t="s">
        <v>55</v>
      </c>
      <c r="C126" s="602"/>
      <c r="D126" s="285">
        <f>TRUNC(D100,2)</f>
        <v>527.6</v>
      </c>
      <c r="E126" s="285">
        <f>TRUNC(E100,2)</f>
        <v>585.16</v>
      </c>
    </row>
    <row r="127" spans="1:5">
      <c r="A127" s="321" t="s">
        <v>12</v>
      </c>
      <c r="B127" s="603" t="s">
        <v>80</v>
      </c>
      <c r="C127" s="603"/>
      <c r="D127" s="322">
        <f>TRUNC(D108,2)</f>
        <v>102.67</v>
      </c>
      <c r="E127" s="322">
        <f>TRUNC(E108,2)</f>
        <v>102.67</v>
      </c>
    </row>
    <row r="128" spans="1:5" ht="15" customHeight="1">
      <c r="A128" s="581" t="s">
        <v>81</v>
      </c>
      <c r="B128" s="581"/>
      <c r="C128" s="581"/>
      <c r="D128" s="236">
        <f>TRUNC(SUM(D123:D127),2)</f>
        <v>7408.83</v>
      </c>
      <c r="E128" s="236">
        <f>TRUNC(SUM(E123:E127),2)</f>
        <v>8095.3</v>
      </c>
    </row>
    <row r="129" spans="1:7">
      <c r="A129" s="286" t="s">
        <v>21</v>
      </c>
      <c r="B129" s="593" t="s">
        <v>82</v>
      </c>
      <c r="C129" s="593"/>
      <c r="D129" s="287">
        <f>TRUNC(D118,2)</f>
        <v>2336.23</v>
      </c>
      <c r="E129" s="287">
        <f>TRUNC(E118,2)</f>
        <v>2552.71</v>
      </c>
    </row>
    <row r="130" spans="1:7" ht="21" customHeight="1">
      <c r="A130" s="627" t="s">
        <v>83</v>
      </c>
      <c r="B130" s="627"/>
      <c r="C130" s="627"/>
      <c r="D130" s="323">
        <f>TRUNC(D128+D129,2)</f>
        <v>9745.06</v>
      </c>
      <c r="E130" s="323">
        <f>TRUNC(E128+E129,2)</f>
        <v>10648.01</v>
      </c>
    </row>
    <row r="131" spans="1:7" ht="21">
      <c r="A131" s="627" t="s">
        <v>494</v>
      </c>
      <c r="B131" s="627"/>
      <c r="C131" s="627"/>
      <c r="D131" s="323">
        <f>D130*2</f>
        <v>19490.12</v>
      </c>
      <c r="E131" s="323">
        <f>E130*2</f>
        <v>21296.02</v>
      </c>
    </row>
    <row r="133" spans="1:7">
      <c r="A133" s="183"/>
      <c r="D133" s="250"/>
      <c r="E133" s="250"/>
    </row>
    <row r="134" spans="1:7" ht="18.75">
      <c r="A134" s="631" t="s">
        <v>495</v>
      </c>
      <c r="B134" s="631"/>
      <c r="C134" s="631"/>
      <c r="D134" s="631"/>
      <c r="E134" s="631"/>
      <c r="F134" s="332"/>
      <c r="G134" s="332"/>
    </row>
    <row r="135" spans="1:7">
      <c r="A135" s="630" t="s">
        <v>500</v>
      </c>
      <c r="B135" s="630"/>
      <c r="C135" s="630"/>
      <c r="D135" s="331" t="s">
        <v>489</v>
      </c>
      <c r="E135" s="331" t="s">
        <v>499</v>
      </c>
    </row>
    <row r="136" spans="1:7" ht="15.75">
      <c r="A136" s="333" t="s">
        <v>3</v>
      </c>
      <c r="B136" s="632" t="s">
        <v>496</v>
      </c>
      <c r="C136" s="633"/>
      <c r="D136" s="334">
        <f>D123/220</f>
        <v>16.092863636363635</v>
      </c>
      <c r="E136" s="335">
        <f>E123/220</f>
        <v>17.84840909090909</v>
      </c>
      <c r="F136" s="330"/>
    </row>
    <row r="137" spans="1:7" ht="15.75">
      <c r="A137" s="333" t="s">
        <v>5</v>
      </c>
      <c r="B137" s="632" t="s">
        <v>497</v>
      </c>
      <c r="C137" s="633"/>
      <c r="D137" s="334">
        <f>D136*1.5</f>
        <v>24.139295454545454</v>
      </c>
      <c r="E137" s="334">
        <f>E136*1.5</f>
        <v>26.772613636363637</v>
      </c>
      <c r="F137" s="330"/>
    </row>
    <row r="138" spans="1:7" ht="15.75">
      <c r="A138" s="333" t="s">
        <v>8</v>
      </c>
      <c r="B138" s="632" t="s">
        <v>498</v>
      </c>
      <c r="C138" s="633"/>
      <c r="D138" s="334">
        <f>D130/30</f>
        <v>324.83533333333332</v>
      </c>
      <c r="E138" s="334">
        <f>E130/30</f>
        <v>354.93366666666668</v>
      </c>
      <c r="F138" s="330"/>
    </row>
  </sheetData>
  <mergeCells count="66">
    <mergeCell ref="B66:C66"/>
    <mergeCell ref="B18:C18"/>
    <mergeCell ref="B19:C19"/>
    <mergeCell ref="A29:C29"/>
    <mergeCell ref="A36:B36"/>
    <mergeCell ref="A38:B38"/>
    <mergeCell ref="A50:B50"/>
    <mergeCell ref="B53:C53"/>
    <mergeCell ref="A60:C60"/>
    <mergeCell ref="B63:C63"/>
    <mergeCell ref="B64:C64"/>
    <mergeCell ref="B65:C65"/>
    <mergeCell ref="A32:E32"/>
    <mergeCell ref="A40:E40"/>
    <mergeCell ref="A52:E52"/>
    <mergeCell ref="A62:E62"/>
    <mergeCell ref="A67:C67"/>
    <mergeCell ref="A77:B77"/>
    <mergeCell ref="A87:B87"/>
    <mergeCell ref="A89:B89"/>
    <mergeCell ref="A94:B94"/>
    <mergeCell ref="A69:E69"/>
    <mergeCell ref="A79:E79"/>
    <mergeCell ref="A80:E80"/>
    <mergeCell ref="A91:E91"/>
    <mergeCell ref="B103:C103"/>
    <mergeCell ref="B104:C104"/>
    <mergeCell ref="B124:C124"/>
    <mergeCell ref="B106:C106"/>
    <mergeCell ref="B107:C107"/>
    <mergeCell ref="A108:C108"/>
    <mergeCell ref="A118:C118"/>
    <mergeCell ref="A121:C122"/>
    <mergeCell ref="B123:C123"/>
    <mergeCell ref="A1:E1"/>
    <mergeCell ref="A6:E6"/>
    <mergeCell ref="A15:E15"/>
    <mergeCell ref="A21:E21"/>
    <mergeCell ref="A31:E31"/>
    <mergeCell ref="A3:B3"/>
    <mergeCell ref="C3:D3"/>
    <mergeCell ref="A4:B4"/>
    <mergeCell ref="C4:D4"/>
    <mergeCell ref="B16:C16"/>
    <mergeCell ref="B17:C17"/>
    <mergeCell ref="A96:E96"/>
    <mergeCell ref="A102:E102"/>
    <mergeCell ref="A110:E110"/>
    <mergeCell ref="A120:E120"/>
    <mergeCell ref="A131:C131"/>
    <mergeCell ref="A130:C130"/>
    <mergeCell ref="B125:C125"/>
    <mergeCell ref="B126:C126"/>
    <mergeCell ref="B127:C127"/>
    <mergeCell ref="A128:C128"/>
    <mergeCell ref="B129:C129"/>
    <mergeCell ref="B105:C105"/>
    <mergeCell ref="B97:C97"/>
    <mergeCell ref="B98:C98"/>
    <mergeCell ref="B99:C99"/>
    <mergeCell ref="A100:C100"/>
    <mergeCell ref="A135:C135"/>
    <mergeCell ref="A134:E134"/>
    <mergeCell ref="B136:C136"/>
    <mergeCell ref="B137:C137"/>
    <mergeCell ref="B138:C138"/>
  </mergeCells>
  <conditionalFormatting sqref="D54:E54">
    <cfRule type="cellIs" dxfId="5" priority="1" operator="lessThan">
      <formula>0</formula>
    </cfRule>
  </conditionalFormatting>
  <pageMargins left="0.511811024" right="0.511811024" top="0.78740157499999996" bottom="0.78740157499999996" header="0.31496062000000002" footer="0.31496062000000002"/>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9E421-746E-4675-A685-E25BA8163EEA}">
  <sheetPr>
    <tabColor theme="3" tint="0.59999389629810485"/>
  </sheetPr>
  <dimension ref="A1:F143"/>
  <sheetViews>
    <sheetView topLeftCell="A107" zoomScale="110" zoomScaleNormal="110" workbookViewId="0">
      <selection activeCell="D142" sqref="D142:E142"/>
    </sheetView>
  </sheetViews>
  <sheetFormatPr defaultRowHeight="15"/>
  <cols>
    <col min="1" max="1" width="6.28515625" style="1" customWidth="1"/>
    <col min="2" max="2" width="56.5703125" style="1" customWidth="1"/>
    <col min="3" max="3" width="16.42578125" style="249" customWidth="1"/>
    <col min="4" max="5" width="22.5703125" style="249" customWidth="1"/>
  </cols>
  <sheetData>
    <row r="1" spans="1:5" ht="18.75">
      <c r="A1" s="552" t="s">
        <v>1</v>
      </c>
      <c r="B1" s="552"/>
      <c r="C1" s="552"/>
      <c r="D1" s="552"/>
      <c r="E1" s="552"/>
    </row>
    <row r="2" spans="1:5">
      <c r="A2" s="4"/>
      <c r="B2" s="4"/>
      <c r="C2" s="4"/>
      <c r="D2" s="5"/>
      <c r="E2" s="5"/>
    </row>
    <row r="3" spans="1:5" ht="15" customHeight="1">
      <c r="A3" s="553" t="s">
        <v>388</v>
      </c>
      <c r="B3" s="554"/>
      <c r="C3" s="555" t="s">
        <v>371</v>
      </c>
      <c r="D3" s="556"/>
      <c r="E3" s="302"/>
    </row>
    <row r="4" spans="1:5" ht="15" customHeight="1">
      <c r="A4" s="553" t="s">
        <v>389</v>
      </c>
      <c r="B4" s="554"/>
      <c r="C4" s="555"/>
      <c r="D4" s="556"/>
      <c r="E4" s="302"/>
    </row>
    <row r="5" spans="1:5">
      <c r="A5" s="6"/>
      <c r="B5" s="6"/>
      <c r="C5" s="2"/>
      <c r="D5" s="3"/>
      <c r="E5" s="3"/>
    </row>
    <row r="6" spans="1:5" ht="18.75">
      <c r="A6" s="605" t="s">
        <v>2</v>
      </c>
      <c r="B6" s="605"/>
      <c r="C6" s="605"/>
      <c r="D6" s="605"/>
      <c r="E6" s="605"/>
    </row>
    <row r="7" spans="1:5">
      <c r="A7" s="40" t="s">
        <v>3</v>
      </c>
      <c r="B7" s="220" t="s">
        <v>4</v>
      </c>
      <c r="C7" s="310"/>
      <c r="D7" s="311"/>
      <c r="E7" s="311"/>
    </row>
    <row r="8" spans="1:5">
      <c r="A8" s="40" t="s">
        <v>5</v>
      </c>
      <c r="B8" s="220" t="s">
        <v>6</v>
      </c>
      <c r="C8" s="310"/>
      <c r="D8" s="312" t="s">
        <v>7</v>
      </c>
      <c r="E8" s="312" t="s">
        <v>7</v>
      </c>
    </row>
    <row r="9" spans="1:5" ht="25.5">
      <c r="A9" s="40" t="s">
        <v>8</v>
      </c>
      <c r="B9" s="220" t="s">
        <v>9</v>
      </c>
      <c r="C9" s="303"/>
      <c r="D9" s="473" t="s">
        <v>733</v>
      </c>
      <c r="E9" s="473" t="s">
        <v>733</v>
      </c>
    </row>
    <row r="10" spans="1:5">
      <c r="A10" s="40" t="s">
        <v>10</v>
      </c>
      <c r="B10" s="220" t="s">
        <v>11</v>
      </c>
      <c r="C10" s="310"/>
      <c r="D10" s="253">
        <v>12</v>
      </c>
      <c r="E10" s="253">
        <v>12</v>
      </c>
    </row>
    <row r="11" spans="1:5">
      <c r="A11" s="40" t="s">
        <v>12</v>
      </c>
      <c r="B11" s="220" t="s">
        <v>147</v>
      </c>
      <c r="C11" s="253"/>
      <c r="D11" s="253" t="s">
        <v>687</v>
      </c>
      <c r="E11" s="253" t="s">
        <v>687</v>
      </c>
    </row>
    <row r="12" spans="1:5">
      <c r="A12" s="40" t="s">
        <v>21</v>
      </c>
      <c r="B12" s="220" t="s">
        <v>13</v>
      </c>
      <c r="C12" s="310"/>
      <c r="D12" s="313">
        <v>15</v>
      </c>
      <c r="E12" s="313">
        <v>15</v>
      </c>
    </row>
    <row r="13" spans="1:5">
      <c r="A13" s="40" t="s">
        <v>22</v>
      </c>
      <c r="B13" s="220" t="s">
        <v>163</v>
      </c>
      <c r="C13" s="310"/>
      <c r="D13" s="314">
        <v>4</v>
      </c>
      <c r="E13" s="314">
        <v>4</v>
      </c>
    </row>
    <row r="14" spans="1:5">
      <c r="A14" s="33"/>
      <c r="B14" s="33"/>
      <c r="C14" s="255"/>
      <c r="D14" s="3"/>
      <c r="E14" s="3"/>
    </row>
    <row r="15" spans="1:5" ht="18.75">
      <c r="A15" s="605" t="s">
        <v>14</v>
      </c>
      <c r="B15" s="605"/>
      <c r="C15" s="605"/>
      <c r="D15" s="605"/>
      <c r="E15" s="605"/>
    </row>
    <row r="16" spans="1:5">
      <c r="A16" s="40">
        <v>1</v>
      </c>
      <c r="B16" s="550" t="s">
        <v>15</v>
      </c>
      <c r="C16" s="550"/>
      <c r="D16" s="301" t="s">
        <v>501</v>
      </c>
      <c r="E16" s="301" t="s">
        <v>502</v>
      </c>
    </row>
    <row r="17" spans="1:5">
      <c r="A17" s="40">
        <v>2</v>
      </c>
      <c r="B17" s="550" t="s">
        <v>16</v>
      </c>
      <c r="C17" s="550"/>
      <c r="D17" s="315"/>
      <c r="E17" s="315"/>
    </row>
    <row r="18" spans="1:5">
      <c r="A18" s="40">
        <v>3</v>
      </c>
      <c r="B18" s="551" t="s">
        <v>17</v>
      </c>
      <c r="C18" s="551"/>
      <c r="D18" s="316">
        <v>3852.73</v>
      </c>
      <c r="E18" s="316">
        <v>3852.73</v>
      </c>
    </row>
    <row r="19" spans="1:5">
      <c r="A19" s="40">
        <v>4</v>
      </c>
      <c r="B19" s="550" t="s">
        <v>18</v>
      </c>
      <c r="C19" s="550"/>
      <c r="D19" s="317">
        <v>45658</v>
      </c>
      <c r="E19" s="317">
        <v>45658</v>
      </c>
    </row>
    <row r="20" spans="1:5">
      <c r="A20" s="14"/>
      <c r="B20" s="14"/>
      <c r="C20" s="229"/>
      <c r="D20" s="229"/>
      <c r="E20" s="229"/>
    </row>
    <row r="21" spans="1:5" ht="18.75">
      <c r="A21" s="606" t="s">
        <v>93</v>
      </c>
      <c r="B21" s="606"/>
      <c r="C21" s="606"/>
      <c r="D21" s="606"/>
      <c r="E21" s="606"/>
    </row>
    <row r="22" spans="1:5">
      <c r="A22" s="11">
        <v>1</v>
      </c>
      <c r="B22" s="11" t="s">
        <v>19</v>
      </c>
      <c r="C22" s="256" t="s">
        <v>86</v>
      </c>
      <c r="D22" s="230" t="s">
        <v>87</v>
      </c>
      <c r="E22" s="230" t="s">
        <v>87</v>
      </c>
    </row>
    <row r="23" spans="1:5">
      <c r="A23" s="10" t="s">
        <v>3</v>
      </c>
      <c r="B23" s="20" t="s">
        <v>20</v>
      </c>
      <c r="C23" s="257">
        <v>1</v>
      </c>
      <c r="D23" s="185">
        <f>D18</f>
        <v>3852.73</v>
      </c>
      <c r="E23" s="185">
        <f>E18</f>
        <v>3852.73</v>
      </c>
    </row>
    <row r="24" spans="1:5">
      <c r="A24" s="12" t="s">
        <v>5</v>
      </c>
      <c r="B24" s="13" t="s">
        <v>152</v>
      </c>
      <c r="C24" s="257">
        <v>0.3</v>
      </c>
      <c r="D24" s="184">
        <f>TRUNC((D$18)*$C$24,2)</f>
        <v>1155.81</v>
      </c>
      <c r="E24" s="184">
        <f>TRUNC((E$18)*$C$24,2)</f>
        <v>1155.81</v>
      </c>
    </row>
    <row r="25" spans="1:5">
      <c r="A25" s="12" t="s">
        <v>8</v>
      </c>
      <c r="B25" s="13" t="s">
        <v>153</v>
      </c>
      <c r="C25" s="257">
        <v>0</v>
      </c>
      <c r="D25" s="184">
        <f>TRUNC((D18)*C25,2)</f>
        <v>0</v>
      </c>
      <c r="E25" s="184">
        <f>TRUNC((E18)*D25,2)</f>
        <v>0</v>
      </c>
    </row>
    <row r="26" spans="1:5">
      <c r="A26" s="10" t="s">
        <v>10</v>
      </c>
      <c r="B26" s="20" t="s">
        <v>154</v>
      </c>
      <c r="C26" s="257">
        <v>0.22500000000000001</v>
      </c>
      <c r="D26" s="185">
        <v>0</v>
      </c>
      <c r="E26" s="185">
        <f>SUM(E23:E25)/180*C26*15*8</f>
        <v>751.28099999999995</v>
      </c>
    </row>
    <row r="27" spans="1:5">
      <c r="A27" s="10" t="s">
        <v>12</v>
      </c>
      <c r="B27" s="20" t="s">
        <v>491</v>
      </c>
      <c r="C27" s="257">
        <v>0</v>
      </c>
      <c r="D27" s="185">
        <v>0</v>
      </c>
      <c r="E27" s="185">
        <f>SUM(E23:E25)/220*C27*15*1</f>
        <v>0</v>
      </c>
    </row>
    <row r="28" spans="1:5">
      <c r="A28" s="10" t="s">
        <v>21</v>
      </c>
      <c r="B28" s="20" t="s">
        <v>229</v>
      </c>
      <c r="C28" s="257">
        <v>0</v>
      </c>
      <c r="D28" s="185">
        <v>0</v>
      </c>
      <c r="E28" s="185">
        <v>0</v>
      </c>
    </row>
    <row r="29" spans="1:5" ht="15" customHeight="1">
      <c r="A29" s="564" t="s">
        <v>84</v>
      </c>
      <c r="B29" s="565"/>
      <c r="C29" s="566"/>
      <c r="D29" s="280">
        <f>TRUNC(SUM(D23:D28),2)</f>
        <v>5008.54</v>
      </c>
      <c r="E29" s="280">
        <f>TRUNC(SUM(E23:E28),2)</f>
        <v>5759.82</v>
      </c>
    </row>
    <row r="30" spans="1:5">
      <c r="A30" s="8"/>
      <c r="B30" s="8"/>
      <c r="C30" s="2"/>
      <c r="D30" s="232"/>
      <c r="E30" s="232"/>
    </row>
    <row r="31" spans="1:5" ht="18.75">
      <c r="A31" s="607" t="s">
        <v>94</v>
      </c>
      <c r="B31" s="607"/>
      <c r="C31" s="607"/>
      <c r="D31" s="607"/>
      <c r="E31" s="607"/>
    </row>
    <row r="32" spans="1:5" ht="18.75">
      <c r="A32" s="608" t="s">
        <v>23</v>
      </c>
      <c r="B32" s="608"/>
      <c r="C32" s="608"/>
      <c r="D32" s="608"/>
      <c r="E32" s="608"/>
    </row>
    <row r="33" spans="1:5">
      <c r="A33" s="24" t="s">
        <v>24</v>
      </c>
      <c r="B33" s="24" t="s">
        <v>25</v>
      </c>
      <c r="C33" s="230" t="s">
        <v>86</v>
      </c>
      <c r="D33" s="256" t="s">
        <v>87</v>
      </c>
      <c r="E33" s="256" t="s">
        <v>87</v>
      </c>
    </row>
    <row r="34" spans="1:5">
      <c r="A34" s="40" t="s">
        <v>3</v>
      </c>
      <c r="B34" s="38" t="s">
        <v>26</v>
      </c>
      <c r="C34" s="266">
        <v>8.3299999999999999E-2</v>
      </c>
      <c r="D34" s="240">
        <f>TRUNC($D29*$C34,2)</f>
        <v>417.21</v>
      </c>
      <c r="E34" s="240">
        <f>TRUNC(E$29*$C34,2)</f>
        <v>479.79</v>
      </c>
    </row>
    <row r="35" spans="1:5">
      <c r="A35" s="40" t="s">
        <v>5</v>
      </c>
      <c r="B35" s="38" t="s">
        <v>27</v>
      </c>
      <c r="C35" s="266">
        <v>2.7799999999999998E-2</v>
      </c>
      <c r="D35" s="240">
        <f>TRUNC(D$29*C35,2)</f>
        <v>139.22999999999999</v>
      </c>
      <c r="E35" s="240">
        <f>TRUNC(E$29*$C35,2)</f>
        <v>160.12</v>
      </c>
    </row>
    <row r="36" spans="1:5">
      <c r="A36" s="569" t="s">
        <v>85</v>
      </c>
      <c r="B36" s="569"/>
      <c r="C36" s="260">
        <f>TRUNC(SUM(C34:C35),5)</f>
        <v>0.1111</v>
      </c>
      <c r="D36" s="236">
        <f>TRUNC(SUM(D34:D35),2)</f>
        <v>556.44000000000005</v>
      </c>
      <c r="E36" s="236">
        <f>TRUNC(SUM(E34:E35),2)</f>
        <v>639.91</v>
      </c>
    </row>
    <row r="37" spans="1:5" ht="30">
      <c r="A37" s="40" t="s">
        <v>8</v>
      </c>
      <c r="B37" s="38" t="s">
        <v>218</v>
      </c>
      <c r="C37" s="266">
        <f>C36*C50</f>
        <v>4.4217800000000002E-2</v>
      </c>
      <c r="D37" s="240">
        <f>TRUNC(D$29*C37,2)</f>
        <v>221.46</v>
      </c>
      <c r="E37" s="240">
        <f>TRUNC(E$29*$C37,2)</f>
        <v>254.68</v>
      </c>
    </row>
    <row r="38" spans="1:5">
      <c r="A38" s="569" t="s">
        <v>28</v>
      </c>
      <c r="B38" s="569"/>
      <c r="C38" s="260">
        <f>TRUNC(SUM(C36:C37),5)</f>
        <v>0.15531</v>
      </c>
      <c r="D38" s="236">
        <f>TRUNC(SUM(D36:D37),2)</f>
        <v>777.9</v>
      </c>
      <c r="E38" s="236">
        <f>TRUNC(SUM(E36:E37),2)</f>
        <v>894.59</v>
      </c>
    </row>
    <row r="39" spans="1:5">
      <c r="A39" s="14"/>
      <c r="B39" s="14"/>
      <c r="C39" s="229"/>
      <c r="D39" s="229"/>
      <c r="E39" s="229"/>
    </row>
    <row r="40" spans="1:5" ht="18.75">
      <c r="A40" s="609" t="s">
        <v>29</v>
      </c>
      <c r="B40" s="609"/>
      <c r="C40" s="609"/>
      <c r="D40" s="609"/>
      <c r="E40" s="609"/>
    </row>
    <row r="41" spans="1:5">
      <c r="A41" s="16" t="s">
        <v>30</v>
      </c>
      <c r="B41" s="23" t="s">
        <v>31</v>
      </c>
      <c r="C41" s="237" t="s">
        <v>86</v>
      </c>
      <c r="D41" s="237" t="s">
        <v>87</v>
      </c>
      <c r="E41" s="237" t="s">
        <v>87</v>
      </c>
    </row>
    <row r="42" spans="1:5">
      <c r="A42" s="22" t="s">
        <v>3</v>
      </c>
      <c r="B42" s="19" t="s">
        <v>32</v>
      </c>
      <c r="C42" s="261">
        <f>MC!D17</f>
        <v>0.2</v>
      </c>
      <c r="D42" s="234">
        <f>TRUNC(D$29*C42,2)</f>
        <v>1001.7</v>
      </c>
      <c r="E42" s="234">
        <f t="shared" ref="E42:E49" si="0">TRUNC(E$29*$C42,2)</f>
        <v>1151.96</v>
      </c>
    </row>
    <row r="43" spans="1:5">
      <c r="A43" s="22" t="s">
        <v>5</v>
      </c>
      <c r="B43" s="19" t="s">
        <v>33</v>
      </c>
      <c r="C43" s="261">
        <f>MC!D18</f>
        <v>2.5000000000000001E-2</v>
      </c>
      <c r="D43" s="234">
        <f t="shared" ref="D43:D49" si="1">TRUNC(D$29*C43,2)</f>
        <v>125.21</v>
      </c>
      <c r="E43" s="234">
        <f t="shared" si="0"/>
        <v>143.99</v>
      </c>
    </row>
    <row r="44" spans="1:5">
      <c r="A44" s="22" t="s">
        <v>8</v>
      </c>
      <c r="B44" s="19" t="s">
        <v>34</v>
      </c>
      <c r="C44" s="261">
        <f>MC!D19</f>
        <v>0.06</v>
      </c>
      <c r="D44" s="234">
        <f>TRUNC(D$29*C44,2)</f>
        <v>300.51</v>
      </c>
      <c r="E44" s="234">
        <f t="shared" si="0"/>
        <v>345.58</v>
      </c>
    </row>
    <row r="45" spans="1:5">
      <c r="A45" s="22" t="s">
        <v>10</v>
      </c>
      <c r="B45" s="19" t="s">
        <v>35</v>
      </c>
      <c r="C45" s="261">
        <f>MC!D21</f>
        <v>1.4999999999999999E-2</v>
      </c>
      <c r="D45" s="234">
        <f t="shared" si="1"/>
        <v>75.12</v>
      </c>
      <c r="E45" s="234">
        <f t="shared" si="0"/>
        <v>86.39</v>
      </c>
    </row>
    <row r="46" spans="1:5">
      <c r="A46" s="22" t="s">
        <v>12</v>
      </c>
      <c r="B46" s="19" t="s">
        <v>36</v>
      </c>
      <c r="C46" s="261">
        <f>MC!D22</f>
        <v>0.01</v>
      </c>
      <c r="D46" s="234">
        <f t="shared" si="1"/>
        <v>50.08</v>
      </c>
      <c r="E46" s="234">
        <f t="shared" si="0"/>
        <v>57.59</v>
      </c>
    </row>
    <row r="47" spans="1:5">
      <c r="A47" s="22" t="s">
        <v>21</v>
      </c>
      <c r="B47" s="19" t="s">
        <v>37</v>
      </c>
      <c r="C47" s="261">
        <f>MC!D23</f>
        <v>6.0000000000000001E-3</v>
      </c>
      <c r="D47" s="234">
        <f t="shared" si="1"/>
        <v>30.05</v>
      </c>
      <c r="E47" s="234">
        <f t="shared" si="0"/>
        <v>34.549999999999997</v>
      </c>
    </row>
    <row r="48" spans="1:5">
      <c r="A48" s="22" t="s">
        <v>22</v>
      </c>
      <c r="B48" s="19" t="s">
        <v>38</v>
      </c>
      <c r="C48" s="261">
        <f>MC!D24</f>
        <v>2E-3</v>
      </c>
      <c r="D48" s="234">
        <f t="shared" si="1"/>
        <v>10.01</v>
      </c>
      <c r="E48" s="234">
        <f t="shared" si="0"/>
        <v>11.51</v>
      </c>
    </row>
    <row r="49" spans="1:5">
      <c r="A49" s="22" t="s">
        <v>39</v>
      </c>
      <c r="B49" s="19" t="s">
        <v>40</v>
      </c>
      <c r="C49" s="261">
        <f>MC!D25</f>
        <v>0.08</v>
      </c>
      <c r="D49" s="234">
        <f t="shared" si="1"/>
        <v>400.68</v>
      </c>
      <c r="E49" s="234">
        <f t="shared" si="0"/>
        <v>460.78</v>
      </c>
    </row>
    <row r="50" spans="1:5" ht="15" customHeight="1">
      <c r="A50" s="571" t="s">
        <v>41</v>
      </c>
      <c r="B50" s="571"/>
      <c r="C50" s="262">
        <f>TRUNC(SUM(C42:C49),5)</f>
        <v>0.39800000000000002</v>
      </c>
      <c r="D50" s="238">
        <f>TRUNC(SUM(D42:D49),2)</f>
        <v>1993.36</v>
      </c>
      <c r="E50" s="238">
        <f>TRUNC(SUM(E42:E49),2)</f>
        <v>2292.35</v>
      </c>
    </row>
    <row r="51" spans="1:5">
      <c r="A51" s="7"/>
      <c r="B51" s="7"/>
      <c r="C51" s="4"/>
      <c r="D51" s="232"/>
      <c r="E51" s="232"/>
    </row>
    <row r="52" spans="1:5" ht="18.75">
      <c r="A52" s="609" t="s">
        <v>42</v>
      </c>
      <c r="B52" s="609"/>
      <c r="C52" s="609"/>
      <c r="D52" s="609"/>
      <c r="E52" s="609"/>
    </row>
    <row r="53" spans="1:5">
      <c r="A53" s="318" t="s">
        <v>43</v>
      </c>
      <c r="B53" s="611" t="s">
        <v>44</v>
      </c>
      <c r="C53" s="612"/>
      <c r="D53" s="319" t="s">
        <v>87</v>
      </c>
      <c r="E53" s="319" t="s">
        <v>87</v>
      </c>
    </row>
    <row r="54" spans="1:5">
      <c r="A54" s="26" t="s">
        <v>3</v>
      </c>
      <c r="B54" s="309" t="s">
        <v>88</v>
      </c>
      <c r="C54" s="182">
        <f>MC!C32</f>
        <v>270</v>
      </c>
      <c r="D54" s="180">
        <f>TRUNC(($C54)-(D$23*6%),2)</f>
        <v>38.83</v>
      </c>
      <c r="E54" s="180">
        <f>TRUNC(($C54)-(E$23*6%),2)</f>
        <v>38.83</v>
      </c>
    </row>
    <row r="55" spans="1:5">
      <c r="A55" s="26" t="s">
        <v>5</v>
      </c>
      <c r="B55" s="25" t="s">
        <v>89</v>
      </c>
      <c r="C55" s="263">
        <f>MC!C35</f>
        <v>47.52</v>
      </c>
      <c r="D55" s="180">
        <f>TRUNC($C55*D$12,2)</f>
        <v>712.8</v>
      </c>
      <c r="E55" s="180">
        <f>TRUNC($C55*E$12,2)</f>
        <v>712.8</v>
      </c>
    </row>
    <row r="56" spans="1:5">
      <c r="A56" s="26" t="s">
        <v>8</v>
      </c>
      <c r="B56" s="25" t="s">
        <v>217</v>
      </c>
      <c r="C56" s="182">
        <f>MC!C42</f>
        <v>193.77</v>
      </c>
      <c r="D56" s="182">
        <f>C56</f>
        <v>193.77</v>
      </c>
      <c r="E56" s="182">
        <f>C56</f>
        <v>193.77</v>
      </c>
    </row>
    <row r="57" spans="1:5">
      <c r="A57" s="26" t="s">
        <v>10</v>
      </c>
      <c r="B57" s="25" t="s">
        <v>90</v>
      </c>
      <c r="C57" s="182">
        <f>MC!C48</f>
        <v>13.45</v>
      </c>
      <c r="D57" s="182">
        <f>C57</f>
        <v>13.45</v>
      </c>
      <c r="E57" s="182">
        <f>C57</f>
        <v>13.45</v>
      </c>
    </row>
    <row r="58" spans="1:5">
      <c r="A58" s="17" t="s">
        <v>45</v>
      </c>
      <c r="B58" s="34" t="s">
        <v>162</v>
      </c>
      <c r="C58" s="264">
        <f>MC!C54</f>
        <v>16.45</v>
      </c>
      <c r="D58" s="264">
        <f>C58</f>
        <v>16.45</v>
      </c>
      <c r="E58" s="264">
        <f>C58</f>
        <v>16.45</v>
      </c>
    </row>
    <row r="59" spans="1:5">
      <c r="A59" s="17" t="s">
        <v>469</v>
      </c>
      <c r="B59" s="34" t="s">
        <v>470</v>
      </c>
      <c r="C59" s="264">
        <v>0</v>
      </c>
      <c r="D59" s="181">
        <f>TRUNC(C59,2)</f>
        <v>0</v>
      </c>
      <c r="E59" s="181">
        <f>TRUNC(D59,2)</f>
        <v>0</v>
      </c>
    </row>
    <row r="60" spans="1:5">
      <c r="A60" s="569" t="s">
        <v>41</v>
      </c>
      <c r="B60" s="569"/>
      <c r="C60" s="569"/>
      <c r="D60" s="231">
        <f>TRUNC(SUM(D54:D59),2)</f>
        <v>975.3</v>
      </c>
      <c r="E60" s="231">
        <f>TRUNC(SUM(E54:E59),2)</f>
        <v>975.3</v>
      </c>
    </row>
    <row r="61" spans="1:5">
      <c r="A61" s="8"/>
      <c r="B61" s="8"/>
      <c r="C61" s="2"/>
      <c r="D61" s="232"/>
      <c r="E61" s="232"/>
    </row>
    <row r="62" spans="1:5" ht="18.75">
      <c r="A62" s="607" t="s">
        <v>46</v>
      </c>
      <c r="B62" s="607"/>
      <c r="C62" s="607"/>
      <c r="D62" s="607"/>
      <c r="E62" s="607"/>
    </row>
    <row r="63" spans="1:5">
      <c r="A63" s="11">
        <v>2</v>
      </c>
      <c r="B63" s="574" t="s">
        <v>47</v>
      </c>
      <c r="C63" s="574"/>
      <c r="D63" s="230" t="s">
        <v>87</v>
      </c>
      <c r="E63" s="230" t="s">
        <v>87</v>
      </c>
    </row>
    <row r="64" spans="1:5">
      <c r="A64" s="10" t="s">
        <v>24</v>
      </c>
      <c r="B64" s="575" t="s">
        <v>25</v>
      </c>
      <c r="C64" s="575"/>
      <c r="D64" s="240">
        <f>TRUNC(D38,2)</f>
        <v>777.9</v>
      </c>
      <c r="E64" s="240">
        <f>TRUNC(E38,2)</f>
        <v>894.59</v>
      </c>
    </row>
    <row r="65" spans="1:5">
      <c r="A65" s="10" t="s">
        <v>30</v>
      </c>
      <c r="B65" s="575" t="s">
        <v>31</v>
      </c>
      <c r="C65" s="575"/>
      <c r="D65" s="240">
        <f>TRUNC(D50,2)</f>
        <v>1993.36</v>
      </c>
      <c r="E65" s="240">
        <f>TRUNC(E50,2)</f>
        <v>2292.35</v>
      </c>
    </row>
    <row r="66" spans="1:5">
      <c r="A66" s="10" t="s">
        <v>43</v>
      </c>
      <c r="B66" s="575" t="s">
        <v>44</v>
      </c>
      <c r="C66" s="575"/>
      <c r="D66" s="240">
        <f>TRUNC(D60,2)</f>
        <v>975.3</v>
      </c>
      <c r="E66" s="240">
        <f>TRUNC(E60,2)</f>
        <v>975.3</v>
      </c>
    </row>
    <row r="67" spans="1:5" ht="15" customHeight="1">
      <c r="A67" s="576" t="s">
        <v>48</v>
      </c>
      <c r="B67" s="576"/>
      <c r="C67" s="576"/>
      <c r="D67" s="279">
        <f>TRUNC(SUM(D64:D66),2)</f>
        <v>3746.56</v>
      </c>
      <c r="E67" s="279">
        <f>TRUNC(SUM(E64:E66),2)</f>
        <v>4162.24</v>
      </c>
    </row>
    <row r="68" spans="1:5">
      <c r="A68" s="8"/>
      <c r="B68" s="8"/>
      <c r="C68" s="2"/>
      <c r="D68" s="232"/>
      <c r="E68" s="232"/>
    </row>
    <row r="69" spans="1:5" ht="18.75">
      <c r="A69" s="610" t="s">
        <v>49</v>
      </c>
      <c r="B69" s="610"/>
      <c r="C69" s="610"/>
      <c r="D69" s="610"/>
      <c r="E69" s="610"/>
    </row>
    <row r="70" spans="1:5">
      <c r="A70" s="11">
        <v>3</v>
      </c>
      <c r="B70" s="11" t="s">
        <v>50</v>
      </c>
      <c r="C70" s="230" t="s">
        <v>86</v>
      </c>
      <c r="D70" s="230" t="s">
        <v>87</v>
      </c>
      <c r="E70" s="230" t="s">
        <v>87</v>
      </c>
    </row>
    <row r="71" spans="1:5">
      <c r="A71" s="21" t="s">
        <v>3</v>
      </c>
      <c r="B71" s="35" t="s">
        <v>51</v>
      </c>
      <c r="C71" s="265">
        <f>MC!D67</f>
        <v>8.3000000000000001E-3</v>
      </c>
      <c r="D71" s="234">
        <f>TRUNC(D$29*$C71,2)</f>
        <v>41.57</v>
      </c>
      <c r="E71" s="234">
        <f>TRUNC(E$29*$C71,2)</f>
        <v>47.8</v>
      </c>
    </row>
    <row r="72" spans="1:5">
      <c r="A72" s="26" t="s">
        <v>5</v>
      </c>
      <c r="B72" s="19" t="s">
        <v>52</v>
      </c>
      <c r="C72" s="265">
        <f>MC!D68</f>
        <v>5.9999999999999995E-4</v>
      </c>
      <c r="D72" s="234">
        <f>TRUNC(D$29*$C72,2)</f>
        <v>3</v>
      </c>
      <c r="E72" s="234">
        <f>TRUNC(E$29*$C72,2)</f>
        <v>3.45</v>
      </c>
    </row>
    <row r="73" spans="1:5">
      <c r="A73" s="26" t="s">
        <v>8</v>
      </c>
      <c r="B73" s="19" t="s">
        <v>53</v>
      </c>
      <c r="C73" s="265">
        <v>0.4</v>
      </c>
      <c r="D73" s="234">
        <f>0.4*0.08*0.1*(D$29+D$34+D$35)</f>
        <v>17.807935999999998</v>
      </c>
      <c r="E73" s="234">
        <f>0.4*0.08*0.1*(E$29+E$34+E$35)</f>
        <v>20.479136</v>
      </c>
    </row>
    <row r="74" spans="1:5">
      <c r="A74" s="26" t="s">
        <v>10</v>
      </c>
      <c r="B74" s="19" t="s">
        <v>122</v>
      </c>
      <c r="C74" s="265">
        <f>MC!D70</f>
        <v>1.9400000000000001E-2</v>
      </c>
      <c r="D74" s="234">
        <f t="shared" ref="D74:D75" si="2">TRUNC(D$29*$C74,2)</f>
        <v>97.16</v>
      </c>
      <c r="E74" s="234">
        <f>TRUNC(E$29*$C74,2)</f>
        <v>111.74</v>
      </c>
    </row>
    <row r="75" spans="1:5" ht="30">
      <c r="A75" s="26" t="s">
        <v>12</v>
      </c>
      <c r="B75" s="19" t="s">
        <v>91</v>
      </c>
      <c r="C75" s="265">
        <f>MC!D71</f>
        <v>7.7000000000000002E-3</v>
      </c>
      <c r="D75" s="234">
        <f t="shared" si="2"/>
        <v>38.56</v>
      </c>
      <c r="E75" s="234">
        <f>TRUNC(E$29*$C75,2)</f>
        <v>44.35</v>
      </c>
    </row>
    <row r="76" spans="1:5">
      <c r="A76" s="39" t="s">
        <v>21</v>
      </c>
      <c r="B76" s="18" t="s">
        <v>54</v>
      </c>
      <c r="C76" s="273">
        <v>0.4</v>
      </c>
      <c r="D76" s="274">
        <f>0.08*0.4*(D29+D34+D35)</f>
        <v>178.07935999999998</v>
      </c>
      <c r="E76" s="274">
        <f>0.08*0.4*(E$29+E$34+E$35)</f>
        <v>204.79136</v>
      </c>
    </row>
    <row r="77" spans="1:5" ht="15" customHeight="1">
      <c r="A77" s="578" t="s">
        <v>41</v>
      </c>
      <c r="B77" s="578"/>
      <c r="C77" s="276">
        <f>TRUNC(SUM(C71:C76),5)</f>
        <v>0.83599999999999997</v>
      </c>
      <c r="D77" s="277">
        <f>TRUNC(SUM(D71:D76),2)</f>
        <v>376.17</v>
      </c>
      <c r="E77" s="277">
        <f>TRUNC(SUM(E71:E76),2)</f>
        <v>432.61</v>
      </c>
    </row>
    <row r="78" spans="1:5">
      <c r="A78" s="36"/>
      <c r="B78" s="36"/>
      <c r="C78" s="241"/>
      <c r="D78" s="241"/>
      <c r="E78" s="241"/>
    </row>
    <row r="79" spans="1:5" ht="18.75">
      <c r="A79" s="623" t="s">
        <v>55</v>
      </c>
      <c r="B79" s="623"/>
      <c r="C79" s="623"/>
      <c r="D79" s="623"/>
      <c r="E79" s="623"/>
    </row>
    <row r="80" spans="1:5" ht="18.75">
      <c r="A80" s="624" t="s">
        <v>56</v>
      </c>
      <c r="B80" s="624"/>
      <c r="C80" s="624"/>
      <c r="D80" s="624"/>
      <c r="E80" s="624"/>
    </row>
    <row r="81" spans="1:5">
      <c r="A81" s="37" t="s">
        <v>57</v>
      </c>
      <c r="B81" s="37" t="s">
        <v>58</v>
      </c>
      <c r="C81" s="242" t="s">
        <v>86</v>
      </c>
      <c r="D81" s="242" t="s">
        <v>87</v>
      </c>
      <c r="E81" s="242" t="s">
        <v>87</v>
      </c>
    </row>
    <row r="82" spans="1:5">
      <c r="A82" s="10" t="s">
        <v>3</v>
      </c>
      <c r="B82" s="38" t="s">
        <v>59</v>
      </c>
      <c r="C82" s="266">
        <f>MC!D77</f>
        <v>8.3299999999999999E-2</v>
      </c>
      <c r="D82" s="234">
        <f t="shared" ref="D82:E86" si="3">TRUNC(D$29*$C82,2)</f>
        <v>417.21</v>
      </c>
      <c r="E82" s="234">
        <f t="shared" si="3"/>
        <v>479.79</v>
      </c>
    </row>
    <row r="83" spans="1:5">
      <c r="A83" s="10" t="s">
        <v>5</v>
      </c>
      <c r="B83" s="38" t="s">
        <v>60</v>
      </c>
      <c r="C83" s="266">
        <f>MC!D78</f>
        <v>1.3899999999999999E-2</v>
      </c>
      <c r="D83" s="234">
        <f t="shared" si="3"/>
        <v>69.61</v>
      </c>
      <c r="E83" s="234">
        <f t="shared" si="3"/>
        <v>80.06</v>
      </c>
    </row>
    <row r="84" spans="1:5">
      <c r="A84" s="10" t="s">
        <v>8</v>
      </c>
      <c r="B84" s="38" t="s">
        <v>61</v>
      </c>
      <c r="C84" s="266">
        <f>MC!D79</f>
        <v>6.9999999999999999E-4</v>
      </c>
      <c r="D84" s="234">
        <f t="shared" si="3"/>
        <v>3.5</v>
      </c>
      <c r="E84" s="234">
        <f t="shared" si="3"/>
        <v>4.03</v>
      </c>
    </row>
    <row r="85" spans="1:5">
      <c r="A85" s="10" t="s">
        <v>10</v>
      </c>
      <c r="B85" s="38" t="s">
        <v>62</v>
      </c>
      <c r="C85" s="266">
        <f>MC!D80</f>
        <v>8.3333333333333332E-3</v>
      </c>
      <c r="D85" s="234">
        <f t="shared" si="3"/>
        <v>41.73</v>
      </c>
      <c r="E85" s="234">
        <f t="shared" si="3"/>
        <v>47.99</v>
      </c>
    </row>
    <row r="86" spans="1:5">
      <c r="A86" s="83" t="s">
        <v>12</v>
      </c>
      <c r="B86" s="84" t="s">
        <v>63</v>
      </c>
      <c r="C86" s="266">
        <f>MC!D81</f>
        <v>3.7037037037037035E-4</v>
      </c>
      <c r="D86" s="234">
        <f t="shared" si="3"/>
        <v>1.85</v>
      </c>
      <c r="E86" s="234">
        <f t="shared" si="3"/>
        <v>2.13</v>
      </c>
    </row>
    <row r="87" spans="1:5" ht="15" customHeight="1">
      <c r="A87" s="581" t="s">
        <v>155</v>
      </c>
      <c r="B87" s="581"/>
      <c r="C87" s="260">
        <f>TRUNC(SUM(C82:C86),5)</f>
        <v>0.1066</v>
      </c>
      <c r="D87" s="236">
        <f>TRUNC(SUM(D82:D86),2)</f>
        <v>533.9</v>
      </c>
      <c r="E87" s="236">
        <f>TRUNC(SUM(E82:E86),2)</f>
        <v>614</v>
      </c>
    </row>
    <row r="88" spans="1:5">
      <c r="A88" s="10" t="s">
        <v>21</v>
      </c>
      <c r="B88" s="38" t="s">
        <v>219</v>
      </c>
      <c r="C88" s="266">
        <f>C87*C50</f>
        <v>4.2426800000000001E-2</v>
      </c>
      <c r="D88" s="234">
        <f>TRUNC(D$29*$C88,2)</f>
        <v>212.49</v>
      </c>
      <c r="E88" s="234">
        <f>TRUNC(E$29*$C88,2)</f>
        <v>244.37</v>
      </c>
    </row>
    <row r="89" spans="1:5" ht="15" customHeight="1">
      <c r="A89" s="581" t="s">
        <v>41</v>
      </c>
      <c r="B89" s="581"/>
      <c r="C89" s="260">
        <f>TRUNC(SUM(C87:C88),5)</f>
        <v>0.14902000000000001</v>
      </c>
      <c r="D89" s="236">
        <f>TRUNC(SUM(D87:D88),2)</f>
        <v>746.39</v>
      </c>
      <c r="E89" s="236">
        <f>TRUNC(SUM(E87:E88),2)</f>
        <v>858.37</v>
      </c>
    </row>
    <row r="90" spans="1:5">
      <c r="A90" s="7"/>
      <c r="B90" s="7"/>
      <c r="C90" s="4"/>
      <c r="D90" s="232"/>
      <c r="E90" s="232"/>
    </row>
    <row r="91" spans="1:5" ht="18.75">
      <c r="A91" s="622" t="s">
        <v>64</v>
      </c>
      <c r="B91" s="622"/>
      <c r="C91" s="622"/>
      <c r="D91" s="622"/>
      <c r="E91" s="622"/>
    </row>
    <row r="92" spans="1:5">
      <c r="A92" s="16" t="s">
        <v>65</v>
      </c>
      <c r="B92" s="16" t="s">
        <v>66</v>
      </c>
      <c r="C92" s="237" t="s">
        <v>86</v>
      </c>
      <c r="D92" s="237" t="s">
        <v>87</v>
      </c>
      <c r="E92" s="237" t="s">
        <v>87</v>
      </c>
    </row>
    <row r="93" spans="1:5" ht="30">
      <c r="A93" s="39" t="s">
        <v>3</v>
      </c>
      <c r="B93" s="18" t="s">
        <v>67</v>
      </c>
      <c r="C93" s="267">
        <v>0</v>
      </c>
      <c r="D93" s="243">
        <v>0</v>
      </c>
      <c r="E93" s="243">
        <v>0</v>
      </c>
    </row>
    <row r="94" spans="1:5" ht="15" customHeight="1">
      <c r="A94" s="581" t="s">
        <v>41</v>
      </c>
      <c r="B94" s="581"/>
      <c r="C94" s="268">
        <f>TRUNC(SUM(C93),4)</f>
        <v>0</v>
      </c>
      <c r="D94" s="244">
        <f>TRUNC(D93,2)</f>
        <v>0</v>
      </c>
      <c r="E94" s="244">
        <f>TRUNC(E93,2)</f>
        <v>0</v>
      </c>
    </row>
    <row r="95" spans="1:5">
      <c r="A95" s="8"/>
      <c r="B95" s="8"/>
      <c r="C95" s="2"/>
      <c r="D95" s="232"/>
      <c r="E95" s="232"/>
    </row>
    <row r="96" spans="1:5" ht="18.75">
      <c r="A96" s="623" t="s">
        <v>68</v>
      </c>
      <c r="B96" s="623"/>
      <c r="C96" s="623"/>
      <c r="D96" s="623"/>
      <c r="E96" s="623"/>
    </row>
    <row r="97" spans="1:5">
      <c r="A97" s="11">
        <v>4</v>
      </c>
      <c r="B97" s="581" t="s">
        <v>69</v>
      </c>
      <c r="C97" s="581"/>
      <c r="D97" s="230" t="s">
        <v>87</v>
      </c>
      <c r="E97" s="230" t="s">
        <v>87</v>
      </c>
    </row>
    <row r="98" spans="1:5">
      <c r="A98" s="88" t="s">
        <v>57</v>
      </c>
      <c r="B98" s="575" t="s">
        <v>58</v>
      </c>
      <c r="C98" s="575"/>
      <c r="D98" s="245">
        <f>TRUNC(D89,2)</f>
        <v>746.39</v>
      </c>
      <c r="E98" s="245">
        <f>TRUNC(E89,2)</f>
        <v>858.37</v>
      </c>
    </row>
    <row r="99" spans="1:5">
      <c r="A99" s="88" t="s">
        <v>65</v>
      </c>
      <c r="B99" s="575" t="s">
        <v>66</v>
      </c>
      <c r="C99" s="575"/>
      <c r="D99" s="246">
        <v>0</v>
      </c>
      <c r="E99" s="246">
        <v>0</v>
      </c>
    </row>
    <row r="100" spans="1:5" ht="15" customHeight="1">
      <c r="A100" s="583" t="s">
        <v>41</v>
      </c>
      <c r="B100" s="583"/>
      <c r="C100" s="583"/>
      <c r="D100" s="272">
        <f>TRUNC(SUM(D98:D99),2)</f>
        <v>746.39</v>
      </c>
      <c r="E100" s="272">
        <f>TRUNC(SUM(E98:E99),2)</f>
        <v>858.37</v>
      </c>
    </row>
    <row r="101" spans="1:5">
      <c r="A101" s="8"/>
      <c r="B101" s="8"/>
      <c r="C101" s="2"/>
      <c r="D101" s="232"/>
      <c r="E101" s="232"/>
    </row>
    <row r="102" spans="1:5" ht="18.75">
      <c r="A102" s="625" t="s">
        <v>80</v>
      </c>
      <c r="B102" s="626"/>
      <c r="C102" s="626"/>
      <c r="D102" s="626"/>
      <c r="E102" s="626"/>
    </row>
    <row r="103" spans="1:5">
      <c r="A103" s="41">
        <v>5</v>
      </c>
      <c r="B103" s="585" t="s">
        <v>92</v>
      </c>
      <c r="C103" s="586"/>
      <c r="D103" s="247" t="s">
        <v>87</v>
      </c>
      <c r="E103" s="247" t="s">
        <v>87</v>
      </c>
    </row>
    <row r="104" spans="1:5">
      <c r="A104" s="40" t="s">
        <v>3</v>
      </c>
      <c r="B104" s="587" t="s">
        <v>157</v>
      </c>
      <c r="C104" s="587"/>
      <c r="D104" s="181">
        <f>Unif_Equip!E64</f>
        <v>202.98</v>
      </c>
      <c r="E104" s="181">
        <f>Unif_Equip!E64</f>
        <v>202.98</v>
      </c>
    </row>
    <row r="105" spans="1:5">
      <c r="A105" s="40" t="s">
        <v>5</v>
      </c>
      <c r="B105" s="587" t="s">
        <v>158</v>
      </c>
      <c r="C105" s="587"/>
      <c r="D105" s="181"/>
      <c r="E105" s="181"/>
    </row>
    <row r="106" spans="1:5">
      <c r="A106" s="40" t="s">
        <v>8</v>
      </c>
      <c r="B106" s="588" t="s">
        <v>159</v>
      </c>
      <c r="C106" s="589"/>
      <c r="D106" s="181">
        <f>Unif_Equip!I170</f>
        <v>40.43</v>
      </c>
      <c r="E106" s="181">
        <f>Unif_Equip!I170</f>
        <v>40.43</v>
      </c>
    </row>
    <row r="107" spans="1:5">
      <c r="A107" s="40" t="s">
        <v>12</v>
      </c>
      <c r="B107" s="588" t="s">
        <v>151</v>
      </c>
      <c r="C107" s="589"/>
      <c r="D107" s="181"/>
      <c r="E107" s="181"/>
    </row>
    <row r="108" spans="1:5">
      <c r="A108" s="613" t="s">
        <v>41</v>
      </c>
      <c r="B108" s="613"/>
      <c r="C108" s="613"/>
      <c r="D108" s="320">
        <f>TRUNC(SUM(D104:D107),2)</f>
        <v>243.41</v>
      </c>
      <c r="E108" s="320">
        <f>TRUNC(SUM(E104:E107),2)</f>
        <v>243.41</v>
      </c>
    </row>
    <row r="109" spans="1:5">
      <c r="A109" s="8"/>
      <c r="B109" s="8"/>
      <c r="C109" s="2"/>
      <c r="D109" s="3"/>
      <c r="E109" s="3"/>
    </row>
    <row r="110" spans="1:5" ht="18.75">
      <c r="A110" s="614" t="s">
        <v>95</v>
      </c>
      <c r="B110" s="614"/>
      <c r="C110" s="614"/>
      <c r="D110" s="614"/>
      <c r="E110" s="614"/>
    </row>
    <row r="111" spans="1:5">
      <c r="A111" s="11">
        <v>6</v>
      </c>
      <c r="B111" s="42" t="s">
        <v>70</v>
      </c>
      <c r="C111" s="230" t="s">
        <v>86</v>
      </c>
      <c r="D111" s="230" t="s">
        <v>87</v>
      </c>
      <c r="E111" s="230" t="s">
        <v>87</v>
      </c>
    </row>
    <row r="112" spans="1:5">
      <c r="A112" s="10" t="s">
        <v>3</v>
      </c>
      <c r="B112" s="38" t="s">
        <v>71</v>
      </c>
      <c r="C112" s="269">
        <v>0.03</v>
      </c>
      <c r="D112" s="240">
        <f>TRUNC((D$123+D$124+D$125+D$126+D$127)*$C112,2)</f>
        <v>303.63</v>
      </c>
      <c r="E112" s="240">
        <f>TRUNC((E$123+E$124+E$125+E$126+E$127)*$C112,2)</f>
        <v>343.69</v>
      </c>
    </row>
    <row r="113" spans="1:5">
      <c r="A113" s="10" t="s">
        <v>5</v>
      </c>
      <c r="B113" s="38" t="s">
        <v>72</v>
      </c>
      <c r="C113" s="269">
        <v>6.7900000000000002E-2</v>
      </c>
      <c r="D113" s="240">
        <f>TRUNC((D$123+D$124+D$125+D$126+D$127)*$C113,2)</f>
        <v>687.22</v>
      </c>
      <c r="E113" s="240">
        <f>TRUNC((E$123+E$124+E$125+E$126+E$127)*$C113,2)</f>
        <v>777.89</v>
      </c>
    </row>
    <row r="114" spans="1:5">
      <c r="A114" s="11" t="s">
        <v>8</v>
      </c>
      <c r="B114" s="43" t="s">
        <v>73</v>
      </c>
      <c r="C114" s="270">
        <f>TRUNC(SUM(C115:C117),4)</f>
        <v>0.14249999999999999</v>
      </c>
      <c r="D114" s="248"/>
      <c r="E114" s="248"/>
    </row>
    <row r="115" spans="1:5">
      <c r="A115" s="10"/>
      <c r="B115" s="38" t="s">
        <v>458</v>
      </c>
      <c r="C115" s="269">
        <f>MC!$C$95</f>
        <v>1.6500000000000001E-2</v>
      </c>
      <c r="D115" s="240">
        <f t="shared" ref="D115:E117" si="4">TRUNC(((D$128+D$112+D$113)/(1-($C$114)))*$C115,2)</f>
        <v>213.81</v>
      </c>
      <c r="E115" s="240">
        <f t="shared" si="4"/>
        <v>242.02</v>
      </c>
    </row>
    <row r="116" spans="1:5">
      <c r="A116" s="10"/>
      <c r="B116" s="38" t="s">
        <v>459</v>
      </c>
      <c r="C116" s="269">
        <f>MC!$C$94</f>
        <v>7.5999999999999998E-2</v>
      </c>
      <c r="D116" s="240">
        <f t="shared" si="4"/>
        <v>984.84</v>
      </c>
      <c r="E116" s="240">
        <f t="shared" si="4"/>
        <v>1114.78</v>
      </c>
    </row>
    <row r="117" spans="1:5">
      <c r="A117" s="38"/>
      <c r="B117" s="38" t="s">
        <v>460</v>
      </c>
      <c r="C117" s="269">
        <f>MC!$C$93</f>
        <v>0.05</v>
      </c>
      <c r="D117" s="240">
        <f t="shared" si="4"/>
        <v>647.91999999999996</v>
      </c>
      <c r="E117" s="240">
        <f t="shared" si="4"/>
        <v>733.41</v>
      </c>
    </row>
    <row r="118" spans="1:5" ht="15" customHeight="1">
      <c r="A118" s="594" t="s">
        <v>75</v>
      </c>
      <c r="B118" s="594"/>
      <c r="C118" s="594"/>
      <c r="D118" s="288">
        <f>TRUNC((D112+D113+D115+D116+D117),2)</f>
        <v>2837.42</v>
      </c>
      <c r="E118" s="288">
        <f>TRUNC((E112+E113+E115+E116+E117),2)</f>
        <v>3211.79</v>
      </c>
    </row>
    <row r="119" spans="1:5">
      <c r="A119" s="33"/>
      <c r="B119" s="33"/>
      <c r="C119" s="255"/>
      <c r="D119" s="3"/>
      <c r="E119" s="3"/>
    </row>
    <row r="120" spans="1:5" ht="21">
      <c r="A120" s="615" t="s">
        <v>76</v>
      </c>
      <c r="B120" s="615"/>
      <c r="C120" s="615"/>
      <c r="D120" s="615"/>
      <c r="E120" s="615"/>
    </row>
    <row r="121" spans="1:5" ht="15" customHeight="1">
      <c r="A121" s="616" t="s">
        <v>77</v>
      </c>
      <c r="B121" s="617"/>
      <c r="C121" s="618"/>
      <c r="D121" s="301" t="str">
        <f>D16</f>
        <v>Brigadista Diurno</v>
      </c>
      <c r="E121" s="301" t="str">
        <f>E16</f>
        <v>Brigadista noturno</v>
      </c>
    </row>
    <row r="122" spans="1:5">
      <c r="A122" s="619"/>
      <c r="B122" s="620"/>
      <c r="C122" s="621"/>
      <c r="D122" s="230" t="s">
        <v>87</v>
      </c>
      <c r="E122" s="230" t="s">
        <v>87</v>
      </c>
    </row>
    <row r="123" spans="1:5">
      <c r="A123" s="281" t="s">
        <v>3</v>
      </c>
      <c r="B123" s="599" t="s">
        <v>78</v>
      </c>
      <c r="C123" s="599"/>
      <c r="D123" s="282">
        <f>TRUNC(D29,2)</f>
        <v>5008.54</v>
      </c>
      <c r="E123" s="282">
        <f>TRUNC(E29,2)</f>
        <v>5759.82</v>
      </c>
    </row>
    <row r="124" spans="1:5">
      <c r="A124" s="278" t="s">
        <v>5</v>
      </c>
      <c r="B124" s="600" t="s">
        <v>79</v>
      </c>
      <c r="C124" s="600"/>
      <c r="D124" s="283">
        <f>TRUNC(D67,2)</f>
        <v>3746.56</v>
      </c>
      <c r="E124" s="283">
        <f>TRUNC(E67,2)</f>
        <v>4162.24</v>
      </c>
    </row>
    <row r="125" spans="1:5">
      <c r="A125" s="275" t="s">
        <v>8</v>
      </c>
      <c r="B125" s="601" t="s">
        <v>49</v>
      </c>
      <c r="C125" s="601"/>
      <c r="D125" s="284">
        <f>TRUNC(D77,2)</f>
        <v>376.17</v>
      </c>
      <c r="E125" s="284">
        <f>TRUNC(E77,2)</f>
        <v>432.61</v>
      </c>
    </row>
    <row r="126" spans="1:5">
      <c r="A126" s="271" t="s">
        <v>10</v>
      </c>
      <c r="B126" s="602" t="s">
        <v>55</v>
      </c>
      <c r="C126" s="602"/>
      <c r="D126" s="285">
        <f>TRUNC(D100,2)</f>
        <v>746.39</v>
      </c>
      <c r="E126" s="285">
        <f>TRUNC(E100,2)</f>
        <v>858.37</v>
      </c>
    </row>
    <row r="127" spans="1:5">
      <c r="A127" s="321" t="s">
        <v>12</v>
      </c>
      <c r="B127" s="603" t="s">
        <v>80</v>
      </c>
      <c r="C127" s="603"/>
      <c r="D127" s="322">
        <f>TRUNC(D108,2)</f>
        <v>243.41</v>
      </c>
      <c r="E127" s="322">
        <f>TRUNC(E108,2)</f>
        <v>243.41</v>
      </c>
    </row>
    <row r="128" spans="1:5" ht="15" customHeight="1">
      <c r="A128" s="581" t="s">
        <v>81</v>
      </c>
      <c r="B128" s="581"/>
      <c r="C128" s="581"/>
      <c r="D128" s="236">
        <f>TRUNC(SUM(D123:D127),2)</f>
        <v>10121.07</v>
      </c>
      <c r="E128" s="236">
        <f>TRUNC(SUM(E123:E127),2)</f>
        <v>11456.45</v>
      </c>
    </row>
    <row r="129" spans="1:6">
      <c r="A129" s="286" t="s">
        <v>21</v>
      </c>
      <c r="B129" s="593" t="s">
        <v>82</v>
      </c>
      <c r="C129" s="593"/>
      <c r="D129" s="287">
        <f>TRUNC(D118,2)</f>
        <v>2837.42</v>
      </c>
      <c r="E129" s="287">
        <f>TRUNC(E118,2)</f>
        <v>3211.79</v>
      </c>
    </row>
    <row r="130" spans="1:6" ht="21" customHeight="1">
      <c r="A130" s="627" t="s">
        <v>83</v>
      </c>
      <c r="B130" s="627"/>
      <c r="C130" s="627"/>
      <c r="D130" s="323">
        <f>TRUNC(D128+D129,2)</f>
        <v>12958.49</v>
      </c>
      <c r="E130" s="323">
        <f>TRUNC(E128+E129,2)</f>
        <v>14668.24</v>
      </c>
    </row>
    <row r="131" spans="1:6" ht="21">
      <c r="A131" s="750" t="s">
        <v>494</v>
      </c>
      <c r="B131" s="750"/>
      <c r="C131" s="750"/>
      <c r="D131" s="751">
        <f>D130*2</f>
        <v>25916.98</v>
      </c>
      <c r="E131" s="751">
        <f>E130*2</f>
        <v>29336.48</v>
      </c>
    </row>
    <row r="133" spans="1:6">
      <c r="A133" s="183"/>
      <c r="D133" s="250"/>
      <c r="E133" s="250"/>
    </row>
    <row r="134" spans="1:6" ht="18" customHeight="1">
      <c r="A134" s="631" t="s">
        <v>514</v>
      </c>
      <c r="B134" s="631"/>
      <c r="C134" s="631"/>
      <c r="D134" s="631"/>
      <c r="E134" s="631"/>
    </row>
    <row r="135" spans="1:6" ht="30">
      <c r="A135" s="336">
        <v>1</v>
      </c>
      <c r="B135" s="337" t="s">
        <v>505</v>
      </c>
      <c r="C135" s="337" t="s">
        <v>506</v>
      </c>
      <c r="D135" s="636" t="s">
        <v>507</v>
      </c>
      <c r="E135" s="637"/>
      <c r="F135" s="330"/>
    </row>
    <row r="136" spans="1:6" ht="15.75">
      <c r="A136" s="338" t="s">
        <v>3</v>
      </c>
      <c r="B136" s="339" t="s">
        <v>508</v>
      </c>
      <c r="C136" s="340" t="s">
        <v>343</v>
      </c>
      <c r="D136" s="638">
        <f>E23</f>
        <v>3852.73</v>
      </c>
      <c r="E136" s="639"/>
      <c r="F136" s="330"/>
    </row>
    <row r="137" spans="1:6" ht="15.75">
      <c r="A137" s="338" t="s">
        <v>5</v>
      </c>
      <c r="B137" s="339" t="s">
        <v>152</v>
      </c>
      <c r="C137" s="342">
        <v>0.3</v>
      </c>
      <c r="D137" s="638">
        <f>C137*D136</f>
        <v>1155.819</v>
      </c>
      <c r="E137" s="639"/>
      <c r="F137" s="330"/>
    </row>
    <row r="138" spans="1:6">
      <c r="A138" s="338" t="s">
        <v>8</v>
      </c>
      <c r="B138" s="339" t="s">
        <v>509</v>
      </c>
      <c r="C138" s="343">
        <v>0.22500000000000001</v>
      </c>
      <c r="D138" s="638">
        <f>E26</f>
        <v>751.28099999999995</v>
      </c>
      <c r="E138" s="639"/>
    </row>
    <row r="139" spans="1:6" ht="75">
      <c r="A139" s="338" t="s">
        <v>10</v>
      </c>
      <c r="B139" s="339" t="s">
        <v>510</v>
      </c>
      <c r="C139" s="341" t="s">
        <v>515</v>
      </c>
      <c r="D139" s="640">
        <f>SUM(D136:E138)/180*52</f>
        <v>1663.9508888888888</v>
      </c>
      <c r="E139" s="641"/>
    </row>
    <row r="140" spans="1:6" ht="30">
      <c r="A140" s="336">
        <v>1</v>
      </c>
      <c r="B140" s="337" t="s">
        <v>505</v>
      </c>
      <c r="C140" s="337" t="s">
        <v>506</v>
      </c>
      <c r="D140" s="636" t="s">
        <v>511</v>
      </c>
      <c r="E140" s="637"/>
    </row>
    <row r="141" spans="1:6">
      <c r="A141" s="338" t="s">
        <v>3</v>
      </c>
      <c r="B141" s="339" t="s">
        <v>508</v>
      </c>
      <c r="C141" s="340" t="s">
        <v>343</v>
      </c>
      <c r="D141" s="638">
        <f>D136</f>
        <v>3852.73</v>
      </c>
      <c r="E141" s="639"/>
    </row>
    <row r="142" spans="1:6">
      <c r="A142" s="338" t="s">
        <v>5</v>
      </c>
      <c r="B142" s="339" t="s">
        <v>152</v>
      </c>
      <c r="C142" s="342">
        <v>0.3</v>
      </c>
      <c r="D142" s="638">
        <f>D137</f>
        <v>1155.819</v>
      </c>
      <c r="E142" s="639"/>
    </row>
    <row r="143" spans="1:6" ht="60.75" thickBot="1">
      <c r="A143" s="344" t="s">
        <v>8</v>
      </c>
      <c r="B143" s="345" t="s">
        <v>512</v>
      </c>
      <c r="C143" s="346" t="s">
        <v>513</v>
      </c>
      <c r="D143" s="634">
        <f>SUM(D141:E142)/180*52</f>
        <v>1446.9141555555555</v>
      </c>
      <c r="E143" s="635"/>
    </row>
  </sheetData>
  <mergeCells count="71">
    <mergeCell ref="A21:E21"/>
    <mergeCell ref="A1:E1"/>
    <mergeCell ref="A3:B3"/>
    <mergeCell ref="C3:D3"/>
    <mergeCell ref="A4:B4"/>
    <mergeCell ref="C4:D4"/>
    <mergeCell ref="A6:E6"/>
    <mergeCell ref="A15:E15"/>
    <mergeCell ref="B16:C16"/>
    <mergeCell ref="B17:C17"/>
    <mergeCell ref="B18:C18"/>
    <mergeCell ref="B19:C19"/>
    <mergeCell ref="B63:C63"/>
    <mergeCell ref="A29:C29"/>
    <mergeCell ref="A31:E31"/>
    <mergeCell ref="A32:E32"/>
    <mergeCell ref="A36:B36"/>
    <mergeCell ref="A38:B38"/>
    <mergeCell ref="A40:E40"/>
    <mergeCell ref="A50:B50"/>
    <mergeCell ref="A52:E52"/>
    <mergeCell ref="B53:C53"/>
    <mergeCell ref="A60:C60"/>
    <mergeCell ref="A62:E62"/>
    <mergeCell ref="A94:B94"/>
    <mergeCell ref="B64:C64"/>
    <mergeCell ref="B65:C65"/>
    <mergeCell ref="B66:C66"/>
    <mergeCell ref="A67:C67"/>
    <mergeCell ref="A69:E69"/>
    <mergeCell ref="A77:B77"/>
    <mergeCell ref="A79:E79"/>
    <mergeCell ref="A80:E80"/>
    <mergeCell ref="A87:B87"/>
    <mergeCell ref="A89:B89"/>
    <mergeCell ref="A91:E91"/>
    <mergeCell ref="A108:C108"/>
    <mergeCell ref="A96:E96"/>
    <mergeCell ref="B97:C97"/>
    <mergeCell ref="B98:C98"/>
    <mergeCell ref="B99:C99"/>
    <mergeCell ref="A100:C100"/>
    <mergeCell ref="A102:E102"/>
    <mergeCell ref="B103:C103"/>
    <mergeCell ref="B104:C104"/>
    <mergeCell ref="B105:C105"/>
    <mergeCell ref="B106:C106"/>
    <mergeCell ref="B107:C107"/>
    <mergeCell ref="A130:C130"/>
    <mergeCell ref="A110:E110"/>
    <mergeCell ref="A118:C118"/>
    <mergeCell ref="A120:E120"/>
    <mergeCell ref="A121:C122"/>
    <mergeCell ref="B123:C123"/>
    <mergeCell ref="B124:C124"/>
    <mergeCell ref="B125:C125"/>
    <mergeCell ref="B126:C126"/>
    <mergeCell ref="B127:C127"/>
    <mergeCell ref="A128:C128"/>
    <mergeCell ref="B129:C129"/>
    <mergeCell ref="D143:E143"/>
    <mergeCell ref="A131:C131"/>
    <mergeCell ref="A134:E134"/>
    <mergeCell ref="D135:E135"/>
    <mergeCell ref="D136:E136"/>
    <mergeCell ref="D137:E137"/>
    <mergeCell ref="D138:E138"/>
    <mergeCell ref="D139:E139"/>
    <mergeCell ref="D140:E140"/>
    <mergeCell ref="D141:E141"/>
    <mergeCell ref="D142:E142"/>
  </mergeCells>
  <conditionalFormatting sqref="D54:E54">
    <cfRule type="cellIs" dxfId="4" priority="1" operator="lessThan">
      <formula>0</formula>
    </cfRule>
  </conditionalFormatting>
  <pageMargins left="0.7" right="0.7" top="0.75" bottom="0.75" header="0.3" footer="0.3"/>
  <pageSetup paperSize="9" scale="65" orientation="portrait" r:id="rId1"/>
  <rowBreaks count="1" manualBreakCount="1">
    <brk id="133" max="5" man="1"/>
  </rowBreaks>
  <colBreaks count="1" manualBreakCount="1">
    <brk id="6" max="14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11739-A727-4A15-9219-B51E8ED9697F}">
  <sheetPr>
    <tabColor theme="3" tint="0.59999389629810485"/>
  </sheetPr>
  <dimension ref="A1:E158"/>
  <sheetViews>
    <sheetView zoomScale="110" zoomScaleNormal="110" workbookViewId="0">
      <selection activeCell="F25" sqref="F25"/>
    </sheetView>
  </sheetViews>
  <sheetFormatPr defaultRowHeight="15"/>
  <cols>
    <col min="1" max="1" width="6.28515625" style="1" customWidth="1"/>
    <col min="2" max="2" width="56.5703125" style="1" customWidth="1"/>
    <col min="3" max="3" width="16.42578125" style="249" customWidth="1"/>
    <col min="4" max="5" width="22.5703125" style="249" customWidth="1"/>
  </cols>
  <sheetData>
    <row r="1" spans="1:5" ht="18.75">
      <c r="A1" s="552" t="s">
        <v>1</v>
      </c>
      <c r="B1" s="552"/>
      <c r="C1" s="552"/>
      <c r="D1" s="552"/>
      <c r="E1" s="552"/>
    </row>
    <row r="2" spans="1:5">
      <c r="A2" s="4"/>
      <c r="B2" s="4"/>
      <c r="C2" s="4"/>
      <c r="D2" s="5"/>
      <c r="E2" s="5"/>
    </row>
    <row r="3" spans="1:5" ht="15" customHeight="1">
      <c r="A3" s="553" t="s">
        <v>388</v>
      </c>
      <c r="B3" s="554"/>
      <c r="C3" s="555" t="s">
        <v>371</v>
      </c>
      <c r="D3" s="556"/>
      <c r="E3" s="302"/>
    </row>
    <row r="4" spans="1:5" ht="15" customHeight="1">
      <c r="A4" s="553" t="s">
        <v>389</v>
      </c>
      <c r="B4" s="554"/>
      <c r="C4" s="555"/>
      <c r="D4" s="556"/>
      <c r="E4" s="302"/>
    </row>
    <row r="5" spans="1:5">
      <c r="A5" s="6"/>
      <c r="B5" s="6"/>
      <c r="C5" s="2"/>
      <c r="D5" s="3"/>
      <c r="E5" s="3"/>
    </row>
    <row r="6" spans="1:5" ht="18.75">
      <c r="A6" s="605" t="s">
        <v>2</v>
      </c>
      <c r="B6" s="605"/>
      <c r="C6" s="605"/>
      <c r="D6" s="605"/>
      <c r="E6" s="605"/>
    </row>
    <row r="7" spans="1:5">
      <c r="A7" s="40" t="s">
        <v>3</v>
      </c>
      <c r="B7" s="220" t="s">
        <v>4</v>
      </c>
      <c r="C7" s="310"/>
      <c r="D7" s="311"/>
      <c r="E7" s="311"/>
    </row>
    <row r="8" spans="1:5">
      <c r="A8" s="40" t="s">
        <v>5</v>
      </c>
      <c r="B8" s="220" t="s">
        <v>6</v>
      </c>
      <c r="C8" s="310"/>
      <c r="D8" s="312" t="s">
        <v>7</v>
      </c>
      <c r="E8" s="312" t="s">
        <v>725</v>
      </c>
    </row>
    <row r="9" spans="1:5">
      <c r="A9" s="40" t="s">
        <v>8</v>
      </c>
      <c r="B9" s="220" t="s">
        <v>9</v>
      </c>
      <c r="C9" s="303"/>
      <c r="D9" s="473" t="s">
        <v>732</v>
      </c>
      <c r="E9" s="299"/>
    </row>
    <row r="10" spans="1:5">
      <c r="A10" s="40" t="s">
        <v>10</v>
      </c>
      <c r="B10" s="220" t="s">
        <v>11</v>
      </c>
      <c r="C10" s="310"/>
      <c r="D10" s="253">
        <v>12</v>
      </c>
      <c r="E10" s="253"/>
    </row>
    <row r="11" spans="1:5">
      <c r="A11" s="40" t="s">
        <v>12</v>
      </c>
      <c r="B11" s="220" t="s">
        <v>147</v>
      </c>
      <c r="C11" s="253"/>
      <c r="D11" s="253" t="s">
        <v>0</v>
      </c>
      <c r="E11" s="253"/>
    </row>
    <row r="12" spans="1:5">
      <c r="A12" s="40" t="s">
        <v>21</v>
      </c>
      <c r="B12" s="220" t="s">
        <v>13</v>
      </c>
      <c r="C12" s="310"/>
      <c r="D12" s="313">
        <f>MC!D60</f>
        <v>20.98</v>
      </c>
      <c r="E12" s="313">
        <v>1</v>
      </c>
    </row>
    <row r="13" spans="1:5">
      <c r="A13" s="40" t="s">
        <v>22</v>
      </c>
      <c r="B13" s="220" t="s">
        <v>163</v>
      </c>
      <c r="C13" s="310"/>
      <c r="D13" s="314">
        <v>4</v>
      </c>
      <c r="E13" s="314" t="s">
        <v>726</v>
      </c>
    </row>
    <row r="14" spans="1:5">
      <c r="A14" s="33"/>
      <c r="B14" s="33"/>
      <c r="C14" s="255"/>
      <c r="D14" s="3"/>
      <c r="E14" s="3"/>
    </row>
    <row r="15" spans="1:5" ht="18.75">
      <c r="A15" s="605" t="s">
        <v>14</v>
      </c>
      <c r="B15" s="605"/>
      <c r="C15" s="605"/>
      <c r="D15" s="605"/>
      <c r="E15" s="605"/>
    </row>
    <row r="16" spans="1:5" ht="30">
      <c r="A16" s="40">
        <v>1</v>
      </c>
      <c r="B16" s="550" t="s">
        <v>15</v>
      </c>
      <c r="C16" s="550"/>
      <c r="D16" s="301" t="s">
        <v>688</v>
      </c>
      <c r="E16" s="301" t="s">
        <v>727</v>
      </c>
    </row>
    <row r="17" spans="1:5">
      <c r="A17" s="40">
        <v>2</v>
      </c>
      <c r="B17" s="550" t="s">
        <v>16</v>
      </c>
      <c r="C17" s="550"/>
      <c r="D17" s="315"/>
      <c r="E17" s="315"/>
    </row>
    <row r="18" spans="1:5">
      <c r="A18" s="40">
        <v>3</v>
      </c>
      <c r="B18" s="551" t="s">
        <v>17</v>
      </c>
      <c r="C18" s="551"/>
      <c r="D18" s="316">
        <v>3532</v>
      </c>
      <c r="E18" s="316">
        <v>3912.51</v>
      </c>
    </row>
    <row r="19" spans="1:5">
      <c r="A19" s="40">
        <v>4</v>
      </c>
      <c r="B19" s="550" t="s">
        <v>18</v>
      </c>
      <c r="C19" s="550"/>
      <c r="D19" s="317">
        <v>45658</v>
      </c>
      <c r="E19" s="756" t="s">
        <v>738</v>
      </c>
    </row>
    <row r="20" spans="1:5">
      <c r="A20" s="14"/>
      <c r="B20" s="14"/>
      <c r="C20" s="229"/>
      <c r="D20" s="229"/>
      <c r="E20" s="229"/>
    </row>
    <row r="21" spans="1:5" ht="18.75">
      <c r="A21" s="606" t="s">
        <v>93</v>
      </c>
      <c r="B21" s="606"/>
      <c r="C21" s="606"/>
      <c r="D21" s="606"/>
      <c r="E21" s="606"/>
    </row>
    <row r="22" spans="1:5">
      <c r="A22" s="11">
        <v>1</v>
      </c>
      <c r="B22" s="11" t="s">
        <v>19</v>
      </c>
      <c r="C22" s="256" t="s">
        <v>86</v>
      </c>
      <c r="D22" s="230" t="s">
        <v>87</v>
      </c>
      <c r="E22" s="230" t="s">
        <v>87</v>
      </c>
    </row>
    <row r="23" spans="1:5">
      <c r="A23" s="10" t="s">
        <v>3</v>
      </c>
      <c r="B23" s="20" t="s">
        <v>20</v>
      </c>
      <c r="C23" s="257">
        <v>1</v>
      </c>
      <c r="D23" s="185">
        <f>D18</f>
        <v>3532</v>
      </c>
      <c r="E23" s="185">
        <f>E18/30</f>
        <v>130.417</v>
      </c>
    </row>
    <row r="24" spans="1:5">
      <c r="A24" s="12" t="s">
        <v>5</v>
      </c>
      <c r="B24" s="13" t="s">
        <v>152</v>
      </c>
      <c r="C24" s="257">
        <v>0</v>
      </c>
      <c r="D24" s="184">
        <f>TRUNC((D$18)*$C$24,2)</f>
        <v>0</v>
      </c>
      <c r="E24" s="184">
        <f>TRUNC((E$18)*$C$24,2)</f>
        <v>0</v>
      </c>
    </row>
    <row r="25" spans="1:5">
      <c r="A25" s="12" t="s">
        <v>8</v>
      </c>
      <c r="B25" s="13" t="s">
        <v>153</v>
      </c>
      <c r="C25" s="257">
        <v>0</v>
      </c>
      <c r="D25" s="184">
        <f>TRUNC((D18)*C25,2)</f>
        <v>0</v>
      </c>
      <c r="E25" s="184">
        <f>TRUNC((E18)*D25,2)</f>
        <v>0</v>
      </c>
    </row>
    <row r="26" spans="1:5">
      <c r="A26" s="10" t="s">
        <v>10</v>
      </c>
      <c r="B26" s="20" t="s">
        <v>154</v>
      </c>
      <c r="C26" s="257">
        <v>0</v>
      </c>
      <c r="D26" s="185">
        <v>0</v>
      </c>
      <c r="E26" s="185">
        <f>SUM(E23:E25)/180*C26*15*8</f>
        <v>0</v>
      </c>
    </row>
    <row r="27" spans="1:5">
      <c r="A27" s="10" t="s">
        <v>12</v>
      </c>
      <c r="B27" s="20" t="s">
        <v>491</v>
      </c>
      <c r="C27" s="257">
        <v>0</v>
      </c>
      <c r="D27" s="185">
        <v>0</v>
      </c>
      <c r="E27" s="185">
        <f>SUM(E23:E25)/220*C27*15*1</f>
        <v>0</v>
      </c>
    </row>
    <row r="28" spans="1:5">
      <c r="A28" s="10" t="s">
        <v>21</v>
      </c>
      <c r="B28" s="20" t="s">
        <v>229</v>
      </c>
      <c r="C28" s="257">
        <v>0</v>
      </c>
      <c r="D28" s="185">
        <v>0</v>
      </c>
      <c r="E28" s="185">
        <v>0</v>
      </c>
    </row>
    <row r="29" spans="1:5" ht="15" customHeight="1">
      <c r="A29" s="564" t="s">
        <v>84</v>
      </c>
      <c r="B29" s="565"/>
      <c r="C29" s="566"/>
      <c r="D29" s="280">
        <f>TRUNC(SUM(D23:D28),2)</f>
        <v>3532</v>
      </c>
      <c r="E29" s="280">
        <f>TRUNC(SUM(E23:E28),2)</f>
        <v>130.41</v>
      </c>
    </row>
    <row r="30" spans="1:5">
      <c r="A30" s="8"/>
      <c r="B30" s="8"/>
      <c r="C30" s="2"/>
      <c r="D30" s="232"/>
      <c r="E30" s="232"/>
    </row>
    <row r="31" spans="1:5" ht="18.75">
      <c r="A31" s="607" t="s">
        <v>94</v>
      </c>
      <c r="B31" s="607"/>
      <c r="C31" s="607"/>
      <c r="D31" s="607"/>
      <c r="E31" s="607"/>
    </row>
    <row r="32" spans="1:5" ht="18.75">
      <c r="A32" s="608" t="s">
        <v>23</v>
      </c>
      <c r="B32" s="608"/>
      <c r="C32" s="608"/>
      <c r="D32" s="608"/>
      <c r="E32" s="608"/>
    </row>
    <row r="33" spans="1:5">
      <c r="A33" s="24" t="s">
        <v>24</v>
      </c>
      <c r="B33" s="24" t="s">
        <v>25</v>
      </c>
      <c r="C33" s="230" t="s">
        <v>86</v>
      </c>
      <c r="D33" s="256" t="s">
        <v>87</v>
      </c>
      <c r="E33" s="256" t="s">
        <v>87</v>
      </c>
    </row>
    <row r="34" spans="1:5">
      <c r="A34" s="40" t="s">
        <v>3</v>
      </c>
      <c r="B34" s="38" t="s">
        <v>26</v>
      </c>
      <c r="C34" s="266">
        <v>8.3299999999999999E-2</v>
      </c>
      <c r="D34" s="240">
        <f>TRUNC($D29*$C34,2)</f>
        <v>294.20999999999998</v>
      </c>
      <c r="E34" s="240">
        <f>TRUNC(E$29*$C34,2)</f>
        <v>10.86</v>
      </c>
    </row>
    <row r="35" spans="1:5">
      <c r="A35" s="40" t="s">
        <v>5</v>
      </c>
      <c r="B35" s="38" t="s">
        <v>27</v>
      </c>
      <c r="C35" s="266">
        <v>2.7799999999999998E-2</v>
      </c>
      <c r="D35" s="240">
        <f>TRUNC(D$29*C35,2)</f>
        <v>98.18</v>
      </c>
      <c r="E35" s="240">
        <f>TRUNC(E$29*$C35,2)</f>
        <v>3.62</v>
      </c>
    </row>
    <row r="36" spans="1:5">
      <c r="A36" s="569" t="s">
        <v>85</v>
      </c>
      <c r="B36" s="569"/>
      <c r="C36" s="260">
        <f>TRUNC(SUM(C34:C35),5)</f>
        <v>0.1111</v>
      </c>
      <c r="D36" s="236">
        <f>TRUNC(SUM(D34:D35),2)</f>
        <v>392.39</v>
      </c>
      <c r="E36" s="236">
        <f>TRUNC(SUM(E34:E35),2)</f>
        <v>14.48</v>
      </c>
    </row>
    <row r="37" spans="1:5" ht="30">
      <c r="A37" s="40" t="s">
        <v>8</v>
      </c>
      <c r="B37" s="38" t="s">
        <v>218</v>
      </c>
      <c r="C37" s="266">
        <f>C36*C50</f>
        <v>4.4217800000000002E-2</v>
      </c>
      <c r="D37" s="240">
        <f>TRUNC(D$29*C37,2)</f>
        <v>156.16999999999999</v>
      </c>
      <c r="E37" s="240">
        <f>TRUNC(E$29*$C37,2)</f>
        <v>5.76</v>
      </c>
    </row>
    <row r="38" spans="1:5">
      <c r="A38" s="569" t="s">
        <v>28</v>
      </c>
      <c r="B38" s="569"/>
      <c r="C38" s="260">
        <f>TRUNC(SUM(C36:C37),5)</f>
        <v>0.15531</v>
      </c>
      <c r="D38" s="236">
        <f>TRUNC(SUM(D36:D37),2)</f>
        <v>548.55999999999995</v>
      </c>
      <c r="E38" s="236">
        <f>TRUNC(SUM(E36:E37),2)</f>
        <v>20.239999999999998</v>
      </c>
    </row>
    <row r="39" spans="1:5">
      <c r="A39" s="14"/>
      <c r="B39" s="14"/>
      <c r="C39" s="229"/>
      <c r="D39" s="229"/>
      <c r="E39" s="229"/>
    </row>
    <row r="40" spans="1:5" ht="18.75">
      <c r="A40" s="609" t="s">
        <v>29</v>
      </c>
      <c r="B40" s="609"/>
      <c r="C40" s="609"/>
      <c r="D40" s="609"/>
      <c r="E40" s="609"/>
    </row>
    <row r="41" spans="1:5">
      <c r="A41" s="16" t="s">
        <v>30</v>
      </c>
      <c r="B41" s="23" t="s">
        <v>31</v>
      </c>
      <c r="C41" s="237" t="s">
        <v>86</v>
      </c>
      <c r="D41" s="237" t="s">
        <v>87</v>
      </c>
      <c r="E41" s="237" t="s">
        <v>87</v>
      </c>
    </row>
    <row r="42" spans="1:5">
      <c r="A42" s="22" t="s">
        <v>3</v>
      </c>
      <c r="B42" s="19" t="s">
        <v>32</v>
      </c>
      <c r="C42" s="261">
        <f>MC!D17</f>
        <v>0.2</v>
      </c>
      <c r="D42" s="234">
        <f>TRUNC(D$29*C42,2)</f>
        <v>706.4</v>
      </c>
      <c r="E42" s="234">
        <f t="shared" ref="E42:E49" si="0">TRUNC(E$29*$C42,2)</f>
        <v>26.08</v>
      </c>
    </row>
    <row r="43" spans="1:5">
      <c r="A43" s="22" t="s">
        <v>5</v>
      </c>
      <c r="B43" s="19" t="s">
        <v>33</v>
      </c>
      <c r="C43" s="261">
        <f>MC!D18</f>
        <v>2.5000000000000001E-2</v>
      </c>
      <c r="D43" s="234">
        <f t="shared" ref="D43:D49" si="1">TRUNC(D$29*C43,2)</f>
        <v>88.3</v>
      </c>
      <c r="E43" s="234">
        <f t="shared" si="0"/>
        <v>3.26</v>
      </c>
    </row>
    <row r="44" spans="1:5">
      <c r="A44" s="22" t="s">
        <v>8</v>
      </c>
      <c r="B44" s="19" t="s">
        <v>34</v>
      </c>
      <c r="C44" s="261">
        <f>MC!D19</f>
        <v>0.06</v>
      </c>
      <c r="D44" s="234">
        <f>TRUNC(D$29*C44,2)</f>
        <v>211.92</v>
      </c>
      <c r="E44" s="234">
        <f t="shared" si="0"/>
        <v>7.82</v>
      </c>
    </row>
    <row r="45" spans="1:5">
      <c r="A45" s="22" t="s">
        <v>10</v>
      </c>
      <c r="B45" s="19" t="s">
        <v>35</v>
      </c>
      <c r="C45" s="261">
        <f>MC!D21</f>
        <v>1.4999999999999999E-2</v>
      </c>
      <c r="D45" s="234">
        <f t="shared" si="1"/>
        <v>52.98</v>
      </c>
      <c r="E45" s="234">
        <f t="shared" si="0"/>
        <v>1.95</v>
      </c>
    </row>
    <row r="46" spans="1:5">
      <c r="A46" s="22" t="s">
        <v>12</v>
      </c>
      <c r="B46" s="19" t="s">
        <v>36</v>
      </c>
      <c r="C46" s="261">
        <f>MC!D22</f>
        <v>0.01</v>
      </c>
      <c r="D46" s="234">
        <f t="shared" si="1"/>
        <v>35.32</v>
      </c>
      <c r="E46" s="234">
        <f t="shared" si="0"/>
        <v>1.3</v>
      </c>
    </row>
    <row r="47" spans="1:5">
      <c r="A47" s="22" t="s">
        <v>21</v>
      </c>
      <c r="B47" s="19" t="s">
        <v>37</v>
      </c>
      <c r="C47" s="261">
        <f>MC!D23</f>
        <v>6.0000000000000001E-3</v>
      </c>
      <c r="D47" s="234">
        <f t="shared" si="1"/>
        <v>21.19</v>
      </c>
      <c r="E47" s="234">
        <f t="shared" si="0"/>
        <v>0.78</v>
      </c>
    </row>
    <row r="48" spans="1:5">
      <c r="A48" s="22" t="s">
        <v>22</v>
      </c>
      <c r="B48" s="19" t="s">
        <v>38</v>
      </c>
      <c r="C48" s="261">
        <f>MC!D24</f>
        <v>2E-3</v>
      </c>
      <c r="D48" s="234">
        <f t="shared" si="1"/>
        <v>7.06</v>
      </c>
      <c r="E48" s="234">
        <f t="shared" si="0"/>
        <v>0.26</v>
      </c>
    </row>
    <row r="49" spans="1:5">
      <c r="A49" s="22" t="s">
        <v>39</v>
      </c>
      <c r="B49" s="19" t="s">
        <v>40</v>
      </c>
      <c r="C49" s="261">
        <f>MC!D25</f>
        <v>0.08</v>
      </c>
      <c r="D49" s="234">
        <f t="shared" si="1"/>
        <v>282.56</v>
      </c>
      <c r="E49" s="234">
        <f t="shared" si="0"/>
        <v>10.43</v>
      </c>
    </row>
    <row r="50" spans="1:5" ht="15" customHeight="1">
      <c r="A50" s="571" t="s">
        <v>41</v>
      </c>
      <c r="B50" s="571"/>
      <c r="C50" s="262">
        <f>TRUNC(SUM(C42:C49),5)</f>
        <v>0.39800000000000002</v>
      </c>
      <c r="D50" s="238">
        <f>TRUNC(SUM(D42:D49),2)</f>
        <v>1405.73</v>
      </c>
      <c r="E50" s="238">
        <f>TRUNC(SUM(E42:E49),2)</f>
        <v>51.88</v>
      </c>
    </row>
    <row r="51" spans="1:5">
      <c r="A51" s="7"/>
      <c r="B51" s="7"/>
      <c r="C51" s="4"/>
      <c r="D51" s="232"/>
      <c r="E51" s="232"/>
    </row>
    <row r="52" spans="1:5" ht="18.75">
      <c r="A52" s="609" t="s">
        <v>42</v>
      </c>
      <c r="B52" s="609"/>
      <c r="C52" s="609"/>
      <c r="D52" s="609"/>
      <c r="E52" s="609"/>
    </row>
    <row r="53" spans="1:5">
      <c r="A53" s="318" t="s">
        <v>43</v>
      </c>
      <c r="B53" s="611" t="s">
        <v>44</v>
      </c>
      <c r="C53" s="612"/>
      <c r="D53" s="319" t="s">
        <v>87</v>
      </c>
      <c r="E53" s="319" t="s">
        <v>87</v>
      </c>
    </row>
    <row r="54" spans="1:5">
      <c r="A54" s="26" t="s">
        <v>3</v>
      </c>
      <c r="B54" s="309" t="s">
        <v>88</v>
      </c>
      <c r="C54" s="182">
        <f>MC!C30</f>
        <v>377.64</v>
      </c>
      <c r="D54" s="180">
        <f>TRUNC(($C54)-(D$23*6%),2)</f>
        <v>165.72</v>
      </c>
      <c r="E54" s="180">
        <f>(5.5+3.5)*2</f>
        <v>18</v>
      </c>
    </row>
    <row r="55" spans="1:5">
      <c r="A55" s="26" t="s">
        <v>5</v>
      </c>
      <c r="B55" s="25" t="s">
        <v>89</v>
      </c>
      <c r="C55" s="263">
        <f>MC!C37</f>
        <v>49</v>
      </c>
      <c r="D55" s="180">
        <f>TRUNC($C55*D$12,2)</f>
        <v>1028.02</v>
      </c>
      <c r="E55" s="180">
        <v>35.5</v>
      </c>
    </row>
    <row r="56" spans="1:5">
      <c r="A56" s="26" t="s">
        <v>8</v>
      </c>
      <c r="B56" s="25" t="s">
        <v>217</v>
      </c>
      <c r="C56" s="182">
        <f>MC!C44</f>
        <v>305</v>
      </c>
      <c r="D56" s="182">
        <f>C56</f>
        <v>305</v>
      </c>
      <c r="E56" s="182">
        <v>0</v>
      </c>
    </row>
    <row r="57" spans="1:5">
      <c r="A57" s="26" t="s">
        <v>10</v>
      </c>
      <c r="B57" s="25" t="s">
        <v>90</v>
      </c>
      <c r="C57" s="182">
        <f>MC!C50</f>
        <v>41.31</v>
      </c>
      <c r="D57" s="182">
        <f>C57</f>
        <v>41.31</v>
      </c>
      <c r="E57" s="182">
        <v>0</v>
      </c>
    </row>
    <row r="58" spans="1:5">
      <c r="A58" s="17" t="s">
        <v>45</v>
      </c>
      <c r="B58" s="34" t="s">
        <v>162</v>
      </c>
      <c r="C58" s="264">
        <f>MC!C56</f>
        <v>3.61</v>
      </c>
      <c r="D58" s="264">
        <f>C58</f>
        <v>3.61</v>
      </c>
      <c r="E58" s="182">
        <v>0</v>
      </c>
    </row>
    <row r="59" spans="1:5">
      <c r="A59" s="17" t="s">
        <v>469</v>
      </c>
      <c r="B59" s="34" t="s">
        <v>470</v>
      </c>
      <c r="C59" s="264">
        <v>0</v>
      </c>
      <c r="D59" s="181">
        <f>TRUNC(C59,2)</f>
        <v>0</v>
      </c>
      <c r="E59" s="182">
        <f t="shared" ref="E59" si="2">D59/30</f>
        <v>0</v>
      </c>
    </row>
    <row r="60" spans="1:5">
      <c r="A60" s="569" t="s">
        <v>41</v>
      </c>
      <c r="B60" s="569"/>
      <c r="C60" s="569"/>
      <c r="D60" s="231">
        <f>TRUNC(SUM(D54:D59),2)</f>
        <v>1543.66</v>
      </c>
      <c r="E60" s="231">
        <f>TRUNC(SUM(E54:E59),2)</f>
        <v>53.5</v>
      </c>
    </row>
    <row r="61" spans="1:5">
      <c r="A61" s="8"/>
      <c r="B61" s="8"/>
      <c r="C61" s="2"/>
      <c r="D61" s="232"/>
      <c r="E61" s="232"/>
    </row>
    <row r="62" spans="1:5" ht="18.75">
      <c r="A62" s="607" t="s">
        <v>46</v>
      </c>
      <c r="B62" s="607"/>
      <c r="C62" s="607"/>
      <c r="D62" s="607"/>
      <c r="E62" s="607"/>
    </row>
    <row r="63" spans="1:5">
      <c r="A63" s="11">
        <v>2</v>
      </c>
      <c r="B63" s="574" t="s">
        <v>47</v>
      </c>
      <c r="C63" s="574"/>
      <c r="D63" s="230" t="s">
        <v>87</v>
      </c>
      <c r="E63" s="230" t="s">
        <v>87</v>
      </c>
    </row>
    <row r="64" spans="1:5">
      <c r="A64" s="10" t="s">
        <v>24</v>
      </c>
      <c r="B64" s="575" t="s">
        <v>25</v>
      </c>
      <c r="C64" s="575"/>
      <c r="D64" s="240">
        <f>TRUNC(D38,2)</f>
        <v>548.55999999999995</v>
      </c>
      <c r="E64" s="240">
        <f>TRUNC(E38,2)</f>
        <v>20.239999999999998</v>
      </c>
    </row>
    <row r="65" spans="1:5">
      <c r="A65" s="10" t="s">
        <v>30</v>
      </c>
      <c r="B65" s="575" t="s">
        <v>31</v>
      </c>
      <c r="C65" s="575"/>
      <c r="D65" s="240">
        <f>TRUNC(D50,2)</f>
        <v>1405.73</v>
      </c>
      <c r="E65" s="240">
        <f>TRUNC(E50,2)</f>
        <v>51.88</v>
      </c>
    </row>
    <row r="66" spans="1:5">
      <c r="A66" s="10" t="s">
        <v>43</v>
      </c>
      <c r="B66" s="575" t="s">
        <v>44</v>
      </c>
      <c r="C66" s="575"/>
      <c r="D66" s="240">
        <f>TRUNC(D60,2)</f>
        <v>1543.66</v>
      </c>
      <c r="E66" s="240">
        <f>TRUNC(E60,2)</f>
        <v>53.5</v>
      </c>
    </row>
    <row r="67" spans="1:5" ht="15" customHeight="1">
      <c r="A67" s="576" t="s">
        <v>48</v>
      </c>
      <c r="B67" s="576"/>
      <c r="C67" s="576"/>
      <c r="D67" s="279">
        <f>TRUNC(SUM(D64:D66),2)</f>
        <v>3497.95</v>
      </c>
      <c r="E67" s="279">
        <f>TRUNC(SUM(E64:E66),2)</f>
        <v>125.62</v>
      </c>
    </row>
    <row r="68" spans="1:5">
      <c r="A68" s="8"/>
      <c r="B68" s="8"/>
      <c r="C68" s="2"/>
      <c r="D68" s="232"/>
      <c r="E68" s="232"/>
    </row>
    <row r="69" spans="1:5" ht="18.75">
      <c r="A69" s="610" t="s">
        <v>49</v>
      </c>
      <c r="B69" s="610"/>
      <c r="C69" s="610"/>
      <c r="D69" s="610"/>
      <c r="E69" s="610"/>
    </row>
    <row r="70" spans="1:5">
      <c r="A70" s="11">
        <v>3</v>
      </c>
      <c r="B70" s="11" t="s">
        <v>50</v>
      </c>
      <c r="C70" s="230" t="s">
        <v>86</v>
      </c>
      <c r="D70" s="230" t="s">
        <v>87</v>
      </c>
      <c r="E70" s="230" t="s">
        <v>87</v>
      </c>
    </row>
    <row r="71" spans="1:5">
      <c r="A71" s="21" t="s">
        <v>3</v>
      </c>
      <c r="B71" s="35" t="s">
        <v>51</v>
      </c>
      <c r="C71" s="265">
        <f>MC!D67</f>
        <v>8.3000000000000001E-3</v>
      </c>
      <c r="D71" s="234">
        <f>TRUNC(D$29*$C71,2)</f>
        <v>29.31</v>
      </c>
      <c r="E71" s="234">
        <f>TRUNC(E$29*$C71,2)</f>
        <v>1.08</v>
      </c>
    </row>
    <row r="72" spans="1:5">
      <c r="A72" s="26" t="s">
        <v>5</v>
      </c>
      <c r="B72" s="19" t="s">
        <v>52</v>
      </c>
      <c r="C72" s="265">
        <f>MC!D68</f>
        <v>5.9999999999999995E-4</v>
      </c>
      <c r="D72" s="234">
        <f>TRUNC(D$29*$C72,2)</f>
        <v>2.11</v>
      </c>
      <c r="E72" s="234">
        <f>TRUNC(E$29*$C72,2)</f>
        <v>7.0000000000000007E-2</v>
      </c>
    </row>
    <row r="73" spans="1:5">
      <c r="A73" s="26" t="s">
        <v>8</v>
      </c>
      <c r="B73" s="19" t="s">
        <v>53</v>
      </c>
      <c r="C73" s="265">
        <v>0.4</v>
      </c>
      <c r="D73" s="234">
        <f>0.4*0.08*0.1*(D$29+D$34+D$35)</f>
        <v>12.558047999999999</v>
      </c>
      <c r="E73" s="234">
        <f>0.4*0.08*0.1*(E$29+E$34+E$35)</f>
        <v>0.463648</v>
      </c>
    </row>
    <row r="74" spans="1:5">
      <c r="A74" s="26" t="s">
        <v>10</v>
      </c>
      <c r="B74" s="19" t="s">
        <v>122</v>
      </c>
      <c r="C74" s="265">
        <f>MC!D70</f>
        <v>1.9400000000000001E-2</v>
      </c>
      <c r="D74" s="234">
        <f t="shared" ref="D74:D75" si="3">TRUNC(D$29*$C74,2)</f>
        <v>68.52</v>
      </c>
      <c r="E74" s="234">
        <f>TRUNC(E$29*$C74,2)</f>
        <v>2.52</v>
      </c>
    </row>
    <row r="75" spans="1:5" ht="30">
      <c r="A75" s="26" t="s">
        <v>12</v>
      </c>
      <c r="B75" s="19" t="s">
        <v>91</v>
      </c>
      <c r="C75" s="265">
        <f>MC!D71</f>
        <v>7.7000000000000002E-3</v>
      </c>
      <c r="D75" s="234">
        <f t="shared" si="3"/>
        <v>27.19</v>
      </c>
      <c r="E75" s="234">
        <f>TRUNC(E$29*$C75,2)</f>
        <v>1</v>
      </c>
    </row>
    <row r="76" spans="1:5">
      <c r="A76" s="39" t="s">
        <v>21</v>
      </c>
      <c r="B76" s="18" t="s">
        <v>54</v>
      </c>
      <c r="C76" s="273">
        <v>0.4</v>
      </c>
      <c r="D76" s="274">
        <f>0.08*0.4*(D29+D34+D35)</f>
        <v>125.58047999999999</v>
      </c>
      <c r="E76" s="274">
        <f>0.08*0.4*(E$29+E$34+E$35)</f>
        <v>4.6364799999999997</v>
      </c>
    </row>
    <row r="77" spans="1:5" ht="15" customHeight="1">
      <c r="A77" s="578" t="s">
        <v>41</v>
      </c>
      <c r="B77" s="578"/>
      <c r="C77" s="276">
        <f>TRUNC(SUM(C71:C76),5)</f>
        <v>0.83599999999999997</v>
      </c>
      <c r="D77" s="277">
        <f>TRUNC(SUM(D71:D76),2)</f>
        <v>265.26</v>
      </c>
      <c r="E77" s="277">
        <f>TRUNC(SUM(E71:E76),2)</f>
        <v>9.77</v>
      </c>
    </row>
    <row r="78" spans="1:5">
      <c r="A78" s="36"/>
      <c r="B78" s="36"/>
      <c r="C78" s="241"/>
      <c r="D78" s="241"/>
      <c r="E78" s="241"/>
    </row>
    <row r="79" spans="1:5" ht="18.75">
      <c r="A79" s="623" t="s">
        <v>55</v>
      </c>
      <c r="B79" s="623"/>
      <c r="C79" s="623"/>
      <c r="D79" s="623"/>
      <c r="E79" s="623"/>
    </row>
    <row r="80" spans="1:5" ht="18.75">
      <c r="A80" s="624" t="s">
        <v>56</v>
      </c>
      <c r="B80" s="624"/>
      <c r="C80" s="624"/>
      <c r="D80" s="624"/>
      <c r="E80" s="624"/>
    </row>
    <row r="81" spans="1:5">
      <c r="A81" s="37" t="s">
        <v>57</v>
      </c>
      <c r="B81" s="37" t="s">
        <v>58</v>
      </c>
      <c r="C81" s="242" t="s">
        <v>86</v>
      </c>
      <c r="D81" s="242" t="s">
        <v>87</v>
      </c>
      <c r="E81" s="242" t="s">
        <v>87</v>
      </c>
    </row>
    <row r="82" spans="1:5">
      <c r="A82" s="10" t="s">
        <v>3</v>
      </c>
      <c r="B82" s="38" t="s">
        <v>59</v>
      </c>
      <c r="C82" s="266">
        <f>MC!D77</f>
        <v>8.3299999999999999E-2</v>
      </c>
      <c r="D82" s="234">
        <f t="shared" ref="D82:E86" si="4">TRUNC(D$29*$C82,2)</f>
        <v>294.20999999999998</v>
      </c>
      <c r="E82" s="234">
        <f t="shared" si="4"/>
        <v>10.86</v>
      </c>
    </row>
    <row r="83" spans="1:5">
      <c r="A83" s="10" t="s">
        <v>5</v>
      </c>
      <c r="B83" s="38" t="s">
        <v>60</v>
      </c>
      <c r="C83" s="266">
        <f>MC!D78</f>
        <v>1.3899999999999999E-2</v>
      </c>
      <c r="D83" s="234">
        <f t="shared" si="4"/>
        <v>49.09</v>
      </c>
      <c r="E83" s="234">
        <f t="shared" si="4"/>
        <v>1.81</v>
      </c>
    </row>
    <row r="84" spans="1:5">
      <c r="A84" s="10" t="s">
        <v>8</v>
      </c>
      <c r="B84" s="38" t="s">
        <v>61</v>
      </c>
      <c r="C84" s="266">
        <f>MC!D79</f>
        <v>6.9999999999999999E-4</v>
      </c>
      <c r="D84" s="234">
        <f t="shared" si="4"/>
        <v>2.4700000000000002</v>
      </c>
      <c r="E84" s="234">
        <f t="shared" si="4"/>
        <v>0.09</v>
      </c>
    </row>
    <row r="85" spans="1:5">
      <c r="A85" s="10" t="s">
        <v>10</v>
      </c>
      <c r="B85" s="38" t="s">
        <v>62</v>
      </c>
      <c r="C85" s="266">
        <f>MC!D80</f>
        <v>8.3333333333333332E-3</v>
      </c>
      <c r="D85" s="234">
        <f t="shared" si="4"/>
        <v>29.43</v>
      </c>
      <c r="E85" s="234">
        <f t="shared" si="4"/>
        <v>1.08</v>
      </c>
    </row>
    <row r="86" spans="1:5">
      <c r="A86" s="83" t="s">
        <v>12</v>
      </c>
      <c r="B86" s="84" t="s">
        <v>63</v>
      </c>
      <c r="C86" s="266">
        <f>MC!D81</f>
        <v>3.7037037037037035E-4</v>
      </c>
      <c r="D86" s="234">
        <f t="shared" si="4"/>
        <v>1.3</v>
      </c>
      <c r="E86" s="234">
        <f t="shared" si="4"/>
        <v>0.04</v>
      </c>
    </row>
    <row r="87" spans="1:5" ht="15" customHeight="1">
      <c r="A87" s="581" t="s">
        <v>155</v>
      </c>
      <c r="B87" s="581"/>
      <c r="C87" s="260">
        <f>TRUNC(SUM(C82:C86),5)</f>
        <v>0.1066</v>
      </c>
      <c r="D87" s="236">
        <f>TRUNC(SUM(D82:D86),2)</f>
        <v>376.5</v>
      </c>
      <c r="E87" s="236">
        <f>TRUNC(SUM(E82:E86),2)</f>
        <v>13.88</v>
      </c>
    </row>
    <row r="88" spans="1:5">
      <c r="A88" s="10" t="s">
        <v>21</v>
      </c>
      <c r="B88" s="38" t="s">
        <v>219</v>
      </c>
      <c r="C88" s="266">
        <f>C87*C50</f>
        <v>4.2426800000000001E-2</v>
      </c>
      <c r="D88" s="234">
        <f>TRUNC(D$29*$C88,2)</f>
        <v>149.85</v>
      </c>
      <c r="E88" s="234">
        <f>TRUNC(E$29*$C88,2)</f>
        <v>5.53</v>
      </c>
    </row>
    <row r="89" spans="1:5" ht="15" customHeight="1">
      <c r="A89" s="581" t="s">
        <v>41</v>
      </c>
      <c r="B89" s="581"/>
      <c r="C89" s="260">
        <f>TRUNC(SUM(C87:C88),5)</f>
        <v>0.14902000000000001</v>
      </c>
      <c r="D89" s="236">
        <f>TRUNC(SUM(D87:D88),2)</f>
        <v>526.35</v>
      </c>
      <c r="E89" s="236">
        <f>TRUNC(SUM(E87:E88),2)</f>
        <v>19.41</v>
      </c>
    </row>
    <row r="90" spans="1:5">
      <c r="A90" s="7"/>
      <c r="B90" s="7"/>
      <c r="C90" s="4"/>
      <c r="D90" s="232"/>
      <c r="E90" s="232"/>
    </row>
    <row r="91" spans="1:5" ht="18.75">
      <c r="A91" s="622" t="s">
        <v>64</v>
      </c>
      <c r="B91" s="622"/>
      <c r="C91" s="622"/>
      <c r="D91" s="622"/>
      <c r="E91" s="622"/>
    </row>
    <row r="92" spans="1:5">
      <c r="A92" s="16" t="s">
        <v>65</v>
      </c>
      <c r="B92" s="16" t="s">
        <v>66</v>
      </c>
      <c r="C92" s="237" t="s">
        <v>86</v>
      </c>
      <c r="D92" s="237" t="s">
        <v>87</v>
      </c>
      <c r="E92" s="237" t="s">
        <v>87</v>
      </c>
    </row>
    <row r="93" spans="1:5" ht="30">
      <c r="A93" s="39" t="s">
        <v>3</v>
      </c>
      <c r="B93" s="18" t="s">
        <v>67</v>
      </c>
      <c r="C93" s="267">
        <v>0</v>
      </c>
      <c r="D93" s="243">
        <v>0</v>
      </c>
      <c r="E93" s="243">
        <v>0</v>
      </c>
    </row>
    <row r="94" spans="1:5" ht="15" customHeight="1">
      <c r="A94" s="581" t="s">
        <v>41</v>
      </c>
      <c r="B94" s="581"/>
      <c r="C94" s="268">
        <f>TRUNC(SUM(C93),4)</f>
        <v>0</v>
      </c>
      <c r="D94" s="244">
        <f>TRUNC(D93,2)</f>
        <v>0</v>
      </c>
      <c r="E94" s="244">
        <f>TRUNC(E93,2)</f>
        <v>0</v>
      </c>
    </row>
    <row r="95" spans="1:5">
      <c r="A95" s="8"/>
      <c r="B95" s="8"/>
      <c r="C95" s="2"/>
      <c r="D95" s="232"/>
      <c r="E95" s="232"/>
    </row>
    <row r="96" spans="1:5" ht="18.75">
      <c r="A96" s="623" t="s">
        <v>68</v>
      </c>
      <c r="B96" s="623"/>
      <c r="C96" s="623"/>
      <c r="D96" s="623"/>
      <c r="E96" s="623"/>
    </row>
    <row r="97" spans="1:5">
      <c r="A97" s="11">
        <v>4</v>
      </c>
      <c r="B97" s="581" t="s">
        <v>69</v>
      </c>
      <c r="C97" s="581"/>
      <c r="D97" s="230" t="s">
        <v>87</v>
      </c>
      <c r="E97" s="230" t="s">
        <v>87</v>
      </c>
    </row>
    <row r="98" spans="1:5">
      <c r="A98" s="88" t="s">
        <v>57</v>
      </c>
      <c r="B98" s="575" t="s">
        <v>58</v>
      </c>
      <c r="C98" s="575"/>
      <c r="D98" s="245">
        <f>TRUNC(D89,2)</f>
        <v>526.35</v>
      </c>
      <c r="E98" s="245">
        <f>TRUNC(E89,2)</f>
        <v>19.41</v>
      </c>
    </row>
    <row r="99" spans="1:5">
      <c r="A99" s="88" t="s">
        <v>65</v>
      </c>
      <c r="B99" s="575" t="s">
        <v>66</v>
      </c>
      <c r="C99" s="575"/>
      <c r="D99" s="246">
        <v>0</v>
      </c>
      <c r="E99" s="246">
        <v>0</v>
      </c>
    </row>
    <row r="100" spans="1:5" ht="15" customHeight="1">
      <c r="A100" s="583" t="s">
        <v>41</v>
      </c>
      <c r="B100" s="583"/>
      <c r="C100" s="583"/>
      <c r="D100" s="272">
        <f>TRUNC(SUM(D98:D99),2)</f>
        <v>526.35</v>
      </c>
      <c r="E100" s="272">
        <f>TRUNC(SUM(E98:E99),2)</f>
        <v>19.41</v>
      </c>
    </row>
    <row r="101" spans="1:5">
      <c r="A101" s="8"/>
      <c r="B101" s="8"/>
      <c r="C101" s="2"/>
      <c r="D101" s="232"/>
      <c r="E101" s="232"/>
    </row>
    <row r="102" spans="1:5" ht="18.75">
      <c r="A102" s="625" t="s">
        <v>80</v>
      </c>
      <c r="B102" s="626"/>
      <c r="C102" s="626"/>
      <c r="D102" s="626"/>
      <c r="E102" s="626"/>
    </row>
    <row r="103" spans="1:5">
      <c r="A103" s="41">
        <v>5</v>
      </c>
      <c r="B103" s="585" t="s">
        <v>92</v>
      </c>
      <c r="C103" s="586"/>
      <c r="D103" s="247" t="s">
        <v>87</v>
      </c>
      <c r="E103" s="247" t="s">
        <v>87</v>
      </c>
    </row>
    <row r="104" spans="1:5">
      <c r="A104" s="40" t="s">
        <v>3</v>
      </c>
      <c r="B104" s="587" t="s">
        <v>157</v>
      </c>
      <c r="C104" s="587"/>
      <c r="D104" s="181">
        <f>Unif_Equip!E12</f>
        <v>66.47</v>
      </c>
      <c r="E104" s="181">
        <f>D104/30</f>
        <v>2.2156666666666665</v>
      </c>
    </row>
    <row r="105" spans="1:5">
      <c r="A105" s="40" t="s">
        <v>5</v>
      </c>
      <c r="B105" s="587" t="s">
        <v>158</v>
      </c>
      <c r="C105" s="587"/>
      <c r="D105" s="181"/>
      <c r="E105" s="181"/>
    </row>
    <row r="106" spans="1:5">
      <c r="A106" s="40" t="s">
        <v>8</v>
      </c>
      <c r="B106" s="588" t="s">
        <v>159</v>
      </c>
      <c r="C106" s="589"/>
      <c r="D106" s="181"/>
      <c r="E106" s="181"/>
    </row>
    <row r="107" spans="1:5">
      <c r="A107" s="40" t="s">
        <v>12</v>
      </c>
      <c r="B107" s="588" t="s">
        <v>151</v>
      </c>
      <c r="C107" s="589"/>
      <c r="D107" s="181"/>
      <c r="E107" s="181"/>
    </row>
    <row r="108" spans="1:5">
      <c r="A108" s="613" t="s">
        <v>41</v>
      </c>
      <c r="B108" s="613"/>
      <c r="C108" s="613"/>
      <c r="D108" s="320">
        <f>TRUNC(SUM(D104:D107),2)</f>
        <v>66.47</v>
      </c>
      <c r="E108" s="320">
        <f>TRUNC(SUM(E104:E107),2)</f>
        <v>2.21</v>
      </c>
    </row>
    <row r="109" spans="1:5">
      <c r="A109" s="8"/>
      <c r="B109" s="8"/>
      <c r="C109" s="2"/>
      <c r="D109" s="3"/>
      <c r="E109" s="3"/>
    </row>
    <row r="110" spans="1:5" ht="18.75">
      <c r="A110" s="614" t="s">
        <v>95</v>
      </c>
      <c r="B110" s="614"/>
      <c r="C110" s="614"/>
      <c r="D110" s="614"/>
      <c r="E110" s="614"/>
    </row>
    <row r="111" spans="1:5">
      <c r="A111" s="11">
        <v>6</v>
      </c>
      <c r="B111" s="42" t="s">
        <v>70</v>
      </c>
      <c r="C111" s="230" t="s">
        <v>86</v>
      </c>
      <c r="D111" s="230" t="s">
        <v>87</v>
      </c>
      <c r="E111" s="230" t="s">
        <v>87</v>
      </c>
    </row>
    <row r="112" spans="1:5">
      <c r="A112" s="10" t="s">
        <v>3</v>
      </c>
      <c r="B112" s="38" t="s">
        <v>71</v>
      </c>
      <c r="C112" s="269">
        <v>0.03</v>
      </c>
      <c r="D112" s="240">
        <f>TRUNC((D$123+D$124+D$125+D$126+D$127)*$C112,2)</f>
        <v>236.64</v>
      </c>
      <c r="E112" s="240">
        <f>TRUNC((E$123+E$124+E$125+E$126+E$127)*$C112,2)</f>
        <v>8.6199999999999992</v>
      </c>
    </row>
    <row r="113" spans="1:5">
      <c r="A113" s="10" t="s">
        <v>5</v>
      </c>
      <c r="B113" s="38" t="s">
        <v>72</v>
      </c>
      <c r="C113" s="269">
        <v>6.7900000000000002E-2</v>
      </c>
      <c r="D113" s="240">
        <f>TRUNC((D$123+D$124+D$125+D$126+D$127)*$C113,2)</f>
        <v>535.59</v>
      </c>
      <c r="E113" s="240">
        <f>TRUNC((E$123+E$124+E$125+E$126+E$127)*$C113,2)</f>
        <v>19.510000000000002</v>
      </c>
    </row>
    <row r="114" spans="1:5">
      <c r="A114" s="11" t="s">
        <v>8</v>
      </c>
      <c r="B114" s="43" t="s">
        <v>73</v>
      </c>
      <c r="C114" s="270">
        <f>TRUNC(SUM(C115:C117),4)</f>
        <v>0.14249999999999999</v>
      </c>
      <c r="D114" s="248"/>
      <c r="E114" s="248"/>
    </row>
    <row r="115" spans="1:5">
      <c r="A115" s="10"/>
      <c r="B115" s="38" t="s">
        <v>458</v>
      </c>
      <c r="C115" s="269">
        <f>MC!$C$95</f>
        <v>1.6500000000000001E-2</v>
      </c>
      <c r="D115" s="240">
        <f>TRUNC(((D$128+D$112+D$113)/(1-($C$114)))*$C115,2)</f>
        <v>166.64</v>
      </c>
      <c r="E115" s="240">
        <f>TRUNC(((E$128+E$112+E$113)/(1-($C$114)))*$C115,2)</f>
        <v>6.07</v>
      </c>
    </row>
    <row r="116" spans="1:5">
      <c r="A116" s="10"/>
      <c r="B116" s="38" t="s">
        <v>459</v>
      </c>
      <c r="C116" s="269">
        <f>MC!$C$94</f>
        <v>7.5999999999999998E-2</v>
      </c>
      <c r="D116" s="240">
        <f t="shared" ref="D116:E117" si="5">TRUNC(((D$128+D$112+D$113)/(1-($C$114)))*$C116,2)</f>
        <v>767.55</v>
      </c>
      <c r="E116" s="240">
        <f t="shared" si="5"/>
        <v>27.96</v>
      </c>
    </row>
    <row r="117" spans="1:5">
      <c r="A117" s="38"/>
      <c r="B117" s="38" t="s">
        <v>460</v>
      </c>
      <c r="C117" s="269">
        <f>MC!$C$93</f>
        <v>0.05</v>
      </c>
      <c r="D117" s="240">
        <f t="shared" si="5"/>
        <v>504.97</v>
      </c>
      <c r="E117" s="240">
        <f>TRUNC(((E$128+E$112+E$113)/(1-($C$114)))*$C117,2)</f>
        <v>18.39</v>
      </c>
    </row>
    <row r="118" spans="1:5" ht="15" customHeight="1">
      <c r="A118" s="594" t="s">
        <v>75</v>
      </c>
      <c r="B118" s="594"/>
      <c r="C118" s="594"/>
      <c r="D118" s="288">
        <f>TRUNC((D112+D113+D115+D116+D117),2)</f>
        <v>2211.39</v>
      </c>
      <c r="E118" s="288">
        <f>TRUNC((E112+E113+E115+E116+E117),2)</f>
        <v>80.55</v>
      </c>
    </row>
    <row r="119" spans="1:5">
      <c r="A119" s="33"/>
      <c r="B119" s="33"/>
      <c r="C119" s="255"/>
      <c r="D119" s="3"/>
      <c r="E119" s="3"/>
    </row>
    <row r="120" spans="1:5" ht="21">
      <c r="A120" s="615" t="s">
        <v>76</v>
      </c>
      <c r="B120" s="615"/>
      <c r="C120" s="615"/>
      <c r="D120" s="615"/>
      <c r="E120" s="615"/>
    </row>
    <row r="121" spans="1:5" ht="15" customHeight="1">
      <c r="A121" s="616" t="s">
        <v>77</v>
      </c>
      <c r="B121" s="617"/>
      <c r="C121" s="618"/>
      <c r="D121" s="301" t="str">
        <f>D16</f>
        <v>Motorista Executivo</v>
      </c>
      <c r="E121" s="301" t="str">
        <f>E16</f>
        <v>Motorista Executivo - DIÁRIA</v>
      </c>
    </row>
    <row r="122" spans="1:5">
      <c r="A122" s="619"/>
      <c r="B122" s="620"/>
      <c r="C122" s="621"/>
      <c r="D122" s="230" t="s">
        <v>87</v>
      </c>
      <c r="E122" s="230" t="s">
        <v>87</v>
      </c>
    </row>
    <row r="123" spans="1:5">
      <c r="A123" s="281" t="s">
        <v>3</v>
      </c>
      <c r="B123" s="599" t="s">
        <v>78</v>
      </c>
      <c r="C123" s="599"/>
      <c r="D123" s="282">
        <f>TRUNC(D29,2)</f>
        <v>3532</v>
      </c>
      <c r="E123" s="282">
        <f>TRUNC(E29,2)</f>
        <v>130.41</v>
      </c>
    </row>
    <row r="124" spans="1:5">
      <c r="A124" s="278" t="s">
        <v>5</v>
      </c>
      <c r="B124" s="600" t="s">
        <v>79</v>
      </c>
      <c r="C124" s="600"/>
      <c r="D124" s="283">
        <f>TRUNC(D67,2)</f>
        <v>3497.95</v>
      </c>
      <c r="E124" s="283">
        <f>TRUNC(E67,2)</f>
        <v>125.62</v>
      </c>
    </row>
    <row r="125" spans="1:5">
      <c r="A125" s="275" t="s">
        <v>8</v>
      </c>
      <c r="B125" s="601" t="s">
        <v>49</v>
      </c>
      <c r="C125" s="601"/>
      <c r="D125" s="284">
        <f>TRUNC(D77,2)</f>
        <v>265.26</v>
      </c>
      <c r="E125" s="284">
        <f>TRUNC(E77,2)</f>
        <v>9.77</v>
      </c>
    </row>
    <row r="126" spans="1:5">
      <c r="A126" s="271" t="s">
        <v>10</v>
      </c>
      <c r="B126" s="602" t="s">
        <v>55</v>
      </c>
      <c r="C126" s="602"/>
      <c r="D126" s="285">
        <f>TRUNC(D100,2)</f>
        <v>526.35</v>
      </c>
      <c r="E126" s="285">
        <f>TRUNC(E100,2)</f>
        <v>19.41</v>
      </c>
    </row>
    <row r="127" spans="1:5">
      <c r="A127" s="321" t="s">
        <v>12</v>
      </c>
      <c r="B127" s="603" t="s">
        <v>80</v>
      </c>
      <c r="C127" s="603"/>
      <c r="D127" s="322">
        <f>TRUNC(D108,2)</f>
        <v>66.47</v>
      </c>
      <c r="E127" s="322">
        <f>TRUNC(E108,2)</f>
        <v>2.21</v>
      </c>
    </row>
    <row r="128" spans="1:5" ht="15" customHeight="1">
      <c r="A128" s="581" t="s">
        <v>81</v>
      </c>
      <c r="B128" s="581"/>
      <c r="C128" s="581"/>
      <c r="D128" s="236">
        <f>TRUNC(SUM(D123:D127),2)</f>
        <v>7888.03</v>
      </c>
      <c r="E128" s="236">
        <f>TRUNC(SUM(E123:E127),2)</f>
        <v>287.42</v>
      </c>
    </row>
    <row r="129" spans="1:5">
      <c r="A129" s="286" t="s">
        <v>21</v>
      </c>
      <c r="B129" s="593" t="s">
        <v>82</v>
      </c>
      <c r="C129" s="593"/>
      <c r="D129" s="287">
        <f>TRUNC(D118,2)</f>
        <v>2211.39</v>
      </c>
      <c r="E129" s="287">
        <f>TRUNC(E118,2)</f>
        <v>80.55</v>
      </c>
    </row>
    <row r="130" spans="1:5" ht="21" customHeight="1">
      <c r="A130" s="627" t="s">
        <v>83</v>
      </c>
      <c r="B130" s="627"/>
      <c r="C130" s="627"/>
      <c r="D130" s="323">
        <f>TRUNC(D128+D129,2)</f>
        <v>10099.42</v>
      </c>
      <c r="E130" s="323">
        <f>TRUNC(E128+E129,2)</f>
        <v>367.97</v>
      </c>
    </row>
    <row r="133" spans="1:5" ht="18">
      <c r="A133" s="522" t="s">
        <v>708</v>
      </c>
      <c r="B133" s="522"/>
      <c r="C133" s="522"/>
      <c r="D133" s="522"/>
      <c r="E133" s="522"/>
    </row>
    <row r="134" spans="1:5" ht="15.75">
      <c r="A134" s="643" t="s">
        <v>689</v>
      </c>
      <c r="B134" s="643"/>
      <c r="C134" s="643"/>
      <c r="D134" s="643"/>
      <c r="E134" s="643"/>
    </row>
    <row r="135" spans="1:5" ht="15.75">
      <c r="A135" s="643" t="s">
        <v>690</v>
      </c>
      <c r="B135" s="643"/>
      <c r="C135" s="643"/>
      <c r="D135" s="643"/>
      <c r="E135" s="643"/>
    </row>
    <row r="136" spans="1:5" ht="15.75">
      <c r="A136" s="643" t="s">
        <v>691</v>
      </c>
      <c r="B136" s="643"/>
      <c r="C136" s="643"/>
      <c r="D136" s="643"/>
      <c r="E136" s="643"/>
    </row>
    <row r="137" spans="1:5" ht="15.75">
      <c r="A137" s="643" t="s">
        <v>692</v>
      </c>
      <c r="B137" s="643"/>
      <c r="C137" s="643"/>
      <c r="D137" s="643"/>
      <c r="E137" s="643"/>
    </row>
    <row r="139" spans="1:5" ht="15.75">
      <c r="A139"/>
      <c r="B139" s="461" t="s">
        <v>693</v>
      </c>
      <c r="C139" s="755">
        <f>D18</f>
        <v>3532</v>
      </c>
      <c r="D139"/>
      <c r="E139"/>
    </row>
    <row r="140" spans="1:5" ht="15.75">
      <c r="A140"/>
      <c r="B140" s="461" t="s">
        <v>694</v>
      </c>
      <c r="C140" s="464" t="s">
        <v>695</v>
      </c>
      <c r="D140"/>
      <c r="E140"/>
    </row>
    <row r="141" spans="1:5" ht="15.75">
      <c r="A141"/>
      <c r="B141" s="461" t="s">
        <v>696</v>
      </c>
      <c r="C141" s="462">
        <f>C139/220</f>
        <v>16.054545454545455</v>
      </c>
      <c r="D141" t="s">
        <v>701</v>
      </c>
      <c r="E141"/>
    </row>
    <row r="142" spans="1:5" ht="15.75">
      <c r="A142"/>
      <c r="B142" s="461" t="s">
        <v>697</v>
      </c>
      <c r="C142" s="463">
        <v>0.5</v>
      </c>
      <c r="D142"/>
      <c r="E142"/>
    </row>
    <row r="143" spans="1:5" ht="15.75">
      <c r="A143"/>
      <c r="B143" s="461" t="s">
        <v>698</v>
      </c>
      <c r="C143" s="462">
        <f>C141*1.5</f>
        <v>24.081818181818182</v>
      </c>
      <c r="D143"/>
      <c r="E143"/>
    </row>
    <row r="145" spans="1:5" ht="15.75">
      <c r="A145" s="643" t="s">
        <v>699</v>
      </c>
      <c r="B145" s="643"/>
      <c r="C145" s="643"/>
      <c r="D145" s="643"/>
      <c r="E145" s="643"/>
    </row>
    <row r="146" spans="1:5">
      <c r="A146" s="8" t="s">
        <v>700</v>
      </c>
      <c r="B146" s="8"/>
      <c r="C146" s="8"/>
      <c r="D146" s="8"/>
      <c r="E146" s="8"/>
    </row>
    <row r="148" spans="1:5" ht="18">
      <c r="A148" s="522" t="s">
        <v>702</v>
      </c>
      <c r="B148" s="522"/>
      <c r="C148" s="522"/>
      <c r="D148" s="522"/>
      <c r="E148" s="522"/>
    </row>
    <row r="149" spans="1:5" ht="15.75">
      <c r="A149" s="643"/>
      <c r="B149" s="643"/>
      <c r="C149" s="643"/>
      <c r="D149" s="643"/>
      <c r="E149" s="643"/>
    </row>
    <row r="150" spans="1:5" ht="15.75" thickBot="1">
      <c r="A150" s="644" t="s">
        <v>712</v>
      </c>
      <c r="B150" s="644"/>
      <c r="C150" s="644"/>
      <c r="D150" s="644"/>
      <c r="E150" s="644"/>
    </row>
    <row r="151" spans="1:5" ht="15.75" thickBot="1">
      <c r="A151"/>
      <c r="B151" s="466" t="s">
        <v>703</v>
      </c>
      <c r="C151" s="467" t="s">
        <v>704</v>
      </c>
      <c r="D151" s="468" t="s">
        <v>705</v>
      </c>
      <c r="E151"/>
    </row>
    <row r="152" spans="1:5" ht="15.75" thickBot="1">
      <c r="A152"/>
      <c r="B152" s="469" t="s">
        <v>706</v>
      </c>
      <c r="C152" s="470">
        <v>24</v>
      </c>
      <c r="D152" s="471">
        <v>150</v>
      </c>
      <c r="E152"/>
    </row>
    <row r="153" spans="1:5" ht="15.75" thickBot="1">
      <c r="A153"/>
      <c r="B153" s="469" t="s">
        <v>707</v>
      </c>
      <c r="C153" s="470">
        <v>24</v>
      </c>
      <c r="D153" s="471">
        <v>300</v>
      </c>
      <c r="E153"/>
    </row>
    <row r="155" spans="1:5">
      <c r="A155" s="642" t="s">
        <v>713</v>
      </c>
      <c r="B155" s="642"/>
      <c r="C155" s="642"/>
      <c r="D155" s="642"/>
      <c r="E155" s="642"/>
    </row>
    <row r="156" spans="1:5">
      <c r="A156" s="642"/>
      <c r="B156" s="642"/>
      <c r="C156" s="642"/>
      <c r="D156" s="642"/>
      <c r="E156" s="642"/>
    </row>
    <row r="157" spans="1:5">
      <c r="A157" s="642"/>
      <c r="B157" s="642"/>
      <c r="C157" s="642"/>
      <c r="D157" s="642"/>
      <c r="E157" s="642"/>
    </row>
    <row r="158" spans="1:5">
      <c r="A158" s="8" t="s">
        <v>711</v>
      </c>
    </row>
  </sheetData>
  <mergeCells count="70">
    <mergeCell ref="A21:E21"/>
    <mergeCell ref="A1:E1"/>
    <mergeCell ref="A3:B3"/>
    <mergeCell ref="C3:D3"/>
    <mergeCell ref="A4:B4"/>
    <mergeCell ref="C4:D4"/>
    <mergeCell ref="A6:E6"/>
    <mergeCell ref="A15:E15"/>
    <mergeCell ref="B16:C16"/>
    <mergeCell ref="B17:C17"/>
    <mergeCell ref="B18:C18"/>
    <mergeCell ref="B19:C19"/>
    <mergeCell ref="B63:C63"/>
    <mergeCell ref="A29:C29"/>
    <mergeCell ref="A31:E31"/>
    <mergeCell ref="A32:E32"/>
    <mergeCell ref="A36:B36"/>
    <mergeCell ref="A38:B38"/>
    <mergeCell ref="A40:E40"/>
    <mergeCell ref="A50:B50"/>
    <mergeCell ref="A52:E52"/>
    <mergeCell ref="B53:C53"/>
    <mergeCell ref="A60:C60"/>
    <mergeCell ref="A62:E62"/>
    <mergeCell ref="A94:B94"/>
    <mergeCell ref="B64:C64"/>
    <mergeCell ref="B65:C65"/>
    <mergeCell ref="B66:C66"/>
    <mergeCell ref="A67:C67"/>
    <mergeCell ref="A69:E69"/>
    <mergeCell ref="A77:B77"/>
    <mergeCell ref="A79:E79"/>
    <mergeCell ref="A80:E80"/>
    <mergeCell ref="A87:B87"/>
    <mergeCell ref="A89:B89"/>
    <mergeCell ref="A91:E91"/>
    <mergeCell ref="A108:C108"/>
    <mergeCell ref="A96:E96"/>
    <mergeCell ref="B97:C97"/>
    <mergeCell ref="B98:C98"/>
    <mergeCell ref="B99:C99"/>
    <mergeCell ref="A100:C100"/>
    <mergeCell ref="A102:E102"/>
    <mergeCell ref="B103:C103"/>
    <mergeCell ref="B104:C104"/>
    <mergeCell ref="B105:C105"/>
    <mergeCell ref="B106:C106"/>
    <mergeCell ref="B107:C107"/>
    <mergeCell ref="A130:C130"/>
    <mergeCell ref="A110:E110"/>
    <mergeCell ref="A118:C118"/>
    <mergeCell ref="A120:E120"/>
    <mergeCell ref="A121:C122"/>
    <mergeCell ref="B123:C123"/>
    <mergeCell ref="B124:C124"/>
    <mergeCell ref="B125:C125"/>
    <mergeCell ref="B126:C126"/>
    <mergeCell ref="B127:C127"/>
    <mergeCell ref="A128:C128"/>
    <mergeCell ref="B129:C129"/>
    <mergeCell ref="A155:E157"/>
    <mergeCell ref="A148:E148"/>
    <mergeCell ref="A149:E149"/>
    <mergeCell ref="A133:E133"/>
    <mergeCell ref="A145:E145"/>
    <mergeCell ref="A134:E134"/>
    <mergeCell ref="A135:E135"/>
    <mergeCell ref="A150:E150"/>
    <mergeCell ref="A136:E136"/>
    <mergeCell ref="A137:E137"/>
  </mergeCells>
  <conditionalFormatting sqref="D54:E54">
    <cfRule type="cellIs" dxfId="3" priority="1" operator="lessThan">
      <formula>0</formula>
    </cfRule>
  </conditionalFormatting>
  <pageMargins left="0.7" right="0.7" top="0.75" bottom="0.75" header="0.3" footer="0.3"/>
  <pageSetup paperSize="9" scale="65" orientation="portrait" r:id="rId1"/>
  <colBreaks count="1" manualBreakCount="1">
    <brk id="6" max="145" man="1"/>
  </colBreaks>
</worksheet>
</file>

<file path=docProps/app.xml><?xml version="1.0" encoding="utf-8"?>
<Properties xmlns="http://schemas.openxmlformats.org/officeDocument/2006/extended-properties" xmlns:vt="http://schemas.openxmlformats.org/officeDocument/2006/docPropsVTypes">
  <TotalTime>2465</TotalTime>
  <Application>Microsoft Excel</Application>
  <DocSecurity>0</DocSecurity>
  <ScaleCrop>false</ScaleCrop>
  <HeadingPairs>
    <vt:vector size="4" baseType="variant">
      <vt:variant>
        <vt:lpstr>Planilhas</vt:lpstr>
      </vt:variant>
      <vt:variant>
        <vt:i4>18</vt:i4>
      </vt:variant>
      <vt:variant>
        <vt:lpstr>Intervalos Nomeados</vt:lpstr>
      </vt:variant>
      <vt:variant>
        <vt:i4>10</vt:i4>
      </vt:variant>
    </vt:vector>
  </HeadingPairs>
  <TitlesOfParts>
    <vt:vector size="28" baseType="lpstr">
      <vt:lpstr>Planilha Resumo Custos</vt:lpstr>
      <vt:lpstr>MC</vt:lpstr>
      <vt:lpstr>M2</vt:lpstr>
      <vt:lpstr>Servente</vt:lpstr>
      <vt:lpstr>MO residente</vt:lpstr>
      <vt:lpstr>MO residente SP</vt:lpstr>
      <vt:lpstr>VIGILANTE</vt:lpstr>
      <vt:lpstr>BRIGADISTA</vt:lpstr>
      <vt:lpstr>MOTORISTA</vt:lpstr>
      <vt:lpstr>Piscineiro</vt:lpstr>
      <vt:lpstr>Carregador</vt:lpstr>
      <vt:lpstr>Marceneiro</vt:lpstr>
      <vt:lpstr>Unif_Equip</vt:lpstr>
      <vt:lpstr>Mat. Limp.</vt:lpstr>
      <vt:lpstr>Mat. Copa</vt:lpstr>
      <vt:lpstr>Mat. Jardim</vt:lpstr>
      <vt:lpstr>Mat. prim socorros</vt:lpstr>
      <vt:lpstr>Serv Eventuais</vt:lpstr>
      <vt:lpstr>BRIGADISTA!Area_de_impressao</vt:lpstr>
      <vt:lpstr>'M2'!Area_de_impressao</vt:lpstr>
      <vt:lpstr>'Mat. Copa'!Area_de_impressao</vt:lpstr>
      <vt:lpstr>'Mat. Jardim'!Area_de_impressao</vt:lpstr>
      <vt:lpstr>'Mat. Limp.'!Area_de_impressao</vt:lpstr>
      <vt:lpstr>'Mat. prim socorros'!Area_de_impressao</vt:lpstr>
      <vt:lpstr>MC!Area_de_impressao</vt:lpstr>
      <vt:lpstr>MOTORISTA!Area_de_impressao</vt:lpstr>
      <vt:lpstr>Unif_Equip!Area_de_impressao</vt:lpstr>
      <vt:lpstr>VIGILANTE!Area_de_impressao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Eliezer Gentil de Souza</dc:creator>
  <cp:lastModifiedBy>Gerusa de Paula Vaz</cp:lastModifiedBy>
  <cp:revision>400</cp:revision>
  <cp:lastPrinted>2025-03-28T12:12:50Z</cp:lastPrinted>
  <dcterms:created xsi:type="dcterms:W3CDTF">2015-02-20T19:21:26Z</dcterms:created>
  <dcterms:modified xsi:type="dcterms:W3CDTF">2025-03-28T13:11:08Z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