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feagti-my.sharepoint.com/personal/gustavo_mesquita_confea_org_br/Documents/Área de Trabalho/"/>
    </mc:Choice>
  </mc:AlternateContent>
  <xr:revisionPtr revIDLastSave="0" documentId="8_{7A02F313-379A-4F0E-812D-4D60E723727C}" xr6:coauthVersionLast="47" xr6:coauthVersionMax="47" xr10:uidLastSave="{00000000-0000-0000-0000-000000000000}"/>
  <bookViews>
    <workbookView xWindow="-120" yWindow="-120" windowWidth="29040" windowHeight="15840" tabRatio="927" activeTab="1" xr2:uid="{5FEF3FC2-6B89-46F2-94B1-76CA7BE6423F}"/>
  </bookViews>
  <sheets>
    <sheet name="Totais" sheetId="4" r:id="rId1"/>
    <sheet name="Analista de UX (Experiência do " sheetId="1" r:id="rId2"/>
    <sheet name="Analista de Requisitos" sheetId="9" r:id="rId3"/>
    <sheet name="Analista_Desenvolvedor – Plataf" sheetId="16" r:id="rId4"/>
    <sheet name="DevSecOps" sheetId="17" r:id="rId5"/>
    <sheet name="administrador de banco de dados" sheetId="10" r:id="rId6"/>
    <sheet name="Gerente de Projetos" sheetId="18" r:id="rId7"/>
    <sheet name="Scrum Master " sheetId="20" r:id="rId8"/>
    <sheet name="Analista de Ambiente de QA" sheetId="23" r:id="rId9"/>
    <sheet name="Arquiteto de Software " sheetId="19" r:id="rId10"/>
    <sheet name="Inovação_Experimentação" sheetId="21" r:id="rId11"/>
    <sheet name="Plataforma IA_Cognitivo" sheetId="24" r:id="rId12"/>
    <sheet name="BPM e RPA " sheetId="25" r:id="rId13"/>
    <sheet name="Plataformas-Ambientes, SOA - AP" sheetId="22" r:id="rId14"/>
    <sheet name="Memória de cálculo" sheetId="8" r:id="rId15"/>
  </sheets>
  <definedNames>
    <definedName name="_xlnm.Print_Area" localSheetId="14">'Memória de cálculo'!$B$2:$D$81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C14" i="4"/>
  <c r="B14" i="4"/>
  <c r="C13" i="4"/>
  <c r="B13" i="4"/>
  <c r="C4" i="4"/>
  <c r="B4" i="4"/>
  <c r="B3" i="4"/>
  <c r="C12" i="4"/>
  <c r="B12" i="4"/>
  <c r="C11" i="4"/>
  <c r="B11" i="4"/>
  <c r="C10" i="4"/>
  <c r="B10" i="4"/>
  <c r="C9" i="4"/>
  <c r="B9" i="4"/>
  <c r="C8" i="4"/>
  <c r="B8" i="4"/>
  <c r="B7" i="4"/>
  <c r="C7" i="4"/>
  <c r="C6" i="4"/>
  <c r="B6" i="4"/>
  <c r="B5" i="4"/>
  <c r="C5" i="4"/>
  <c r="D3" i="4"/>
  <c r="C78" i="25"/>
  <c r="C79" i="25" s="1"/>
  <c r="C71" i="25"/>
  <c r="C70" i="25"/>
  <c r="D63" i="25"/>
  <c r="D62" i="25"/>
  <c r="D60" i="25"/>
  <c r="D58" i="25"/>
  <c r="D65" i="25" s="1"/>
  <c r="C35" i="25"/>
  <c r="C46" i="25" s="1"/>
  <c r="C34" i="25"/>
  <c r="C33" i="25"/>
  <c r="C32" i="25"/>
  <c r="C28" i="25"/>
  <c r="C27" i="25"/>
  <c r="C36" i="25" s="1"/>
  <c r="C25" i="25"/>
  <c r="C45" i="25" s="1"/>
  <c r="C24" i="25"/>
  <c r="C23" i="25"/>
  <c r="C22" i="25"/>
  <c r="C21" i="25"/>
  <c r="C29" i="25" s="1"/>
  <c r="C17" i="25"/>
  <c r="C18" i="25" s="1"/>
  <c r="D5" i="25"/>
  <c r="C78" i="24"/>
  <c r="C79" i="24" s="1"/>
  <c r="C71" i="24"/>
  <c r="C70" i="24"/>
  <c r="D63" i="24"/>
  <c r="D62" i="24"/>
  <c r="D60" i="24"/>
  <c r="D58" i="24"/>
  <c r="D65" i="24" s="1"/>
  <c r="C35" i="24"/>
  <c r="C46" i="24" s="1"/>
  <c r="C34" i="24"/>
  <c r="C33" i="24"/>
  <c r="C32" i="24"/>
  <c r="C28" i="24"/>
  <c r="C27" i="24"/>
  <c r="C36" i="24" s="1"/>
  <c r="C25" i="24"/>
  <c r="C45" i="24" s="1"/>
  <c r="C24" i="24"/>
  <c r="C23" i="24"/>
  <c r="C22" i="24"/>
  <c r="C21" i="24"/>
  <c r="C29" i="24" s="1"/>
  <c r="C17" i="24"/>
  <c r="C18" i="24" s="1"/>
  <c r="D5" i="24"/>
  <c r="C78" i="23"/>
  <c r="C79" i="23" s="1"/>
  <c r="C71" i="23"/>
  <c r="C70" i="23"/>
  <c r="D63" i="23"/>
  <c r="D62" i="23"/>
  <c r="D60" i="23"/>
  <c r="D58" i="23"/>
  <c r="D65" i="23" s="1"/>
  <c r="C35" i="23"/>
  <c r="C46" i="23" s="1"/>
  <c r="C34" i="23"/>
  <c r="C33" i="23"/>
  <c r="C32" i="23"/>
  <c r="C28" i="23"/>
  <c r="C27" i="23"/>
  <c r="C36" i="23" s="1"/>
  <c r="C25" i="23"/>
  <c r="C45" i="23" s="1"/>
  <c r="C24" i="23"/>
  <c r="C23" i="23"/>
  <c r="C22" i="23"/>
  <c r="C21" i="23"/>
  <c r="C29" i="23" s="1"/>
  <c r="C17" i="23"/>
  <c r="C18" i="23" s="1"/>
  <c r="D5" i="23"/>
  <c r="C78" i="22"/>
  <c r="C79" i="22" s="1"/>
  <c r="C71" i="22"/>
  <c r="C70" i="22"/>
  <c r="D63" i="22"/>
  <c r="D62" i="22"/>
  <c r="D60" i="22"/>
  <c r="D58" i="22"/>
  <c r="D65" i="22" s="1"/>
  <c r="C35" i="22"/>
  <c r="C46" i="22" s="1"/>
  <c r="C34" i="22"/>
  <c r="C33" i="22"/>
  <c r="C32" i="22"/>
  <c r="C28" i="22"/>
  <c r="C27" i="22"/>
  <c r="C36" i="22" s="1"/>
  <c r="C25" i="22"/>
  <c r="C45" i="22" s="1"/>
  <c r="C24" i="22"/>
  <c r="C23" i="22"/>
  <c r="C22" i="22"/>
  <c r="C21" i="22"/>
  <c r="C29" i="22" s="1"/>
  <c r="C17" i="22"/>
  <c r="C18" i="22" s="1"/>
  <c r="D5" i="22"/>
  <c r="C78" i="21"/>
  <c r="C79" i="21" s="1"/>
  <c r="C71" i="21"/>
  <c r="C70" i="21"/>
  <c r="D63" i="21"/>
  <c r="D62" i="21"/>
  <c r="D60" i="21"/>
  <c r="D58" i="21"/>
  <c r="D65" i="21" s="1"/>
  <c r="C35" i="21"/>
  <c r="C46" i="21" s="1"/>
  <c r="C34" i="21"/>
  <c r="C33" i="21"/>
  <c r="C32" i="21"/>
  <c r="C28" i="21"/>
  <c r="C27" i="21"/>
  <c r="C36" i="21" s="1"/>
  <c r="C25" i="21"/>
  <c r="C45" i="21" s="1"/>
  <c r="C24" i="21"/>
  <c r="C23" i="21"/>
  <c r="C22" i="21"/>
  <c r="C21" i="21"/>
  <c r="C29" i="21" s="1"/>
  <c r="C17" i="21"/>
  <c r="C18" i="21" s="1"/>
  <c r="D5" i="21"/>
  <c r="C78" i="20"/>
  <c r="C79" i="20" s="1"/>
  <c r="C71" i="20"/>
  <c r="C70" i="20"/>
  <c r="D63" i="20"/>
  <c r="D62" i="20"/>
  <c r="D60" i="20"/>
  <c r="D58" i="20"/>
  <c r="D65" i="20" s="1"/>
  <c r="C35" i="20"/>
  <c r="C46" i="20" s="1"/>
  <c r="C34" i="20"/>
  <c r="C33" i="20"/>
  <c r="C32" i="20"/>
  <c r="C28" i="20"/>
  <c r="C27" i="20"/>
  <c r="C36" i="20" s="1"/>
  <c r="C25" i="20"/>
  <c r="C45" i="20" s="1"/>
  <c r="C24" i="20"/>
  <c r="C23" i="20"/>
  <c r="C22" i="20"/>
  <c r="C21" i="20"/>
  <c r="C29" i="20" s="1"/>
  <c r="C17" i="20"/>
  <c r="C18" i="20" s="1"/>
  <c r="D5" i="20"/>
  <c r="D58" i="19"/>
  <c r="C78" i="19"/>
  <c r="C79" i="19" s="1"/>
  <c r="C71" i="19"/>
  <c r="C70" i="19"/>
  <c r="D63" i="19"/>
  <c r="D62" i="19"/>
  <c r="D60" i="19"/>
  <c r="D65" i="19"/>
  <c r="C35" i="19"/>
  <c r="C46" i="19" s="1"/>
  <c r="C34" i="19"/>
  <c r="C33" i="19"/>
  <c r="C32" i="19"/>
  <c r="C28" i="19"/>
  <c r="C27" i="19"/>
  <c r="C36" i="19" s="1"/>
  <c r="C25" i="19"/>
  <c r="C45" i="19" s="1"/>
  <c r="C24" i="19"/>
  <c r="C23" i="19"/>
  <c r="C22" i="19"/>
  <c r="C21" i="19"/>
  <c r="C29" i="19" s="1"/>
  <c r="C17" i="19"/>
  <c r="C18" i="19" s="1"/>
  <c r="D5" i="19"/>
  <c r="C78" i="18"/>
  <c r="C79" i="18" s="1"/>
  <c r="C71" i="18"/>
  <c r="C70" i="18"/>
  <c r="D63" i="18"/>
  <c r="D62" i="18"/>
  <c r="D60" i="18"/>
  <c r="D65" i="18"/>
  <c r="C35" i="18"/>
  <c r="C46" i="18" s="1"/>
  <c r="C34" i="18"/>
  <c r="C33" i="18"/>
  <c r="C32" i="18"/>
  <c r="C28" i="18"/>
  <c r="C27" i="18"/>
  <c r="C36" i="18" s="1"/>
  <c r="C26" i="18"/>
  <c r="C25" i="18"/>
  <c r="C45" i="18" s="1"/>
  <c r="C24" i="18"/>
  <c r="C23" i="18"/>
  <c r="C22" i="18"/>
  <c r="C21" i="18"/>
  <c r="C29" i="18" s="1"/>
  <c r="C17" i="18"/>
  <c r="C18" i="18" s="1"/>
  <c r="D5" i="18"/>
  <c r="C79" i="17"/>
  <c r="C72" i="17"/>
  <c r="D60" i="17"/>
  <c r="D65" i="17" s="1"/>
  <c r="C35" i="17"/>
  <c r="C46" i="17" s="1"/>
  <c r="C34" i="17"/>
  <c r="C33" i="17"/>
  <c r="C32" i="17"/>
  <c r="C28" i="17"/>
  <c r="C27" i="17"/>
  <c r="C36" i="17" s="1"/>
  <c r="C25" i="17"/>
  <c r="C45" i="17" s="1"/>
  <c r="C24" i="17"/>
  <c r="C23" i="17"/>
  <c r="C22" i="17"/>
  <c r="C21" i="17"/>
  <c r="C29" i="17" s="1"/>
  <c r="C17" i="17"/>
  <c r="C18" i="17" s="1"/>
  <c r="D5" i="17"/>
  <c r="C79" i="16"/>
  <c r="C72" i="16"/>
  <c r="D60" i="16"/>
  <c r="D65" i="16" s="1"/>
  <c r="C35" i="16"/>
  <c r="C46" i="16" s="1"/>
  <c r="C34" i="16"/>
  <c r="C33" i="16"/>
  <c r="C32" i="16"/>
  <c r="C28" i="16"/>
  <c r="C27" i="16"/>
  <c r="C36" i="16" s="1"/>
  <c r="C25" i="16"/>
  <c r="C45" i="16" s="1"/>
  <c r="C24" i="16"/>
  <c r="C23" i="16"/>
  <c r="C22" i="16"/>
  <c r="C21" i="16"/>
  <c r="C29" i="16" s="1"/>
  <c r="C17" i="16"/>
  <c r="C18" i="16" s="1"/>
  <c r="D5" i="16"/>
  <c r="D60" i="9"/>
  <c r="C50" i="9"/>
  <c r="C46" i="9"/>
  <c r="C45" i="9"/>
  <c r="C44" i="9"/>
  <c r="C40" i="9"/>
  <c r="C36" i="9"/>
  <c r="C35" i="9"/>
  <c r="C34" i="9"/>
  <c r="C33" i="9"/>
  <c r="C32" i="9"/>
  <c r="C28" i="9"/>
  <c r="C27" i="9"/>
  <c r="C25" i="9"/>
  <c r="C24" i="9"/>
  <c r="C23" i="9"/>
  <c r="C22" i="9"/>
  <c r="C21" i="9"/>
  <c r="C17" i="9"/>
  <c r="D63" i="10"/>
  <c r="D62" i="10"/>
  <c r="C26" i="10"/>
  <c r="D46" i="25" l="1"/>
  <c r="D45" i="25"/>
  <c r="D36" i="25"/>
  <c r="D35" i="25"/>
  <c r="D34" i="25"/>
  <c r="D33" i="25"/>
  <c r="D32" i="25"/>
  <c r="D37" i="25" s="1"/>
  <c r="D28" i="25"/>
  <c r="D27" i="25"/>
  <c r="D26" i="25"/>
  <c r="D25" i="25"/>
  <c r="D24" i="25"/>
  <c r="D23" i="25"/>
  <c r="D22" i="25"/>
  <c r="D21" i="25"/>
  <c r="D29" i="25" s="1"/>
  <c r="D17" i="25"/>
  <c r="D16" i="25"/>
  <c r="D15" i="25"/>
  <c r="D14" i="25"/>
  <c r="D13" i="25"/>
  <c r="D12" i="25"/>
  <c r="D11" i="25"/>
  <c r="D18" i="25" s="1"/>
  <c r="C50" i="25"/>
  <c r="C40" i="25"/>
  <c r="C44" i="25"/>
  <c r="C37" i="25"/>
  <c r="C72" i="25"/>
  <c r="D46" i="24"/>
  <c r="D45" i="24"/>
  <c r="D36" i="24"/>
  <c r="D35" i="24"/>
  <c r="D34" i="24"/>
  <c r="D33" i="24"/>
  <c r="D32" i="24"/>
  <c r="D37" i="24" s="1"/>
  <c r="D28" i="24"/>
  <c r="D27" i="24"/>
  <c r="D26" i="24"/>
  <c r="D25" i="24"/>
  <c r="D24" i="24"/>
  <c r="D23" i="24"/>
  <c r="D22" i="24"/>
  <c r="D21" i="24"/>
  <c r="D29" i="24" s="1"/>
  <c r="D17" i="24"/>
  <c r="D16" i="24"/>
  <c r="D15" i="24"/>
  <c r="D14" i="24"/>
  <c r="D13" i="24"/>
  <c r="D12" i="24"/>
  <c r="D11" i="24"/>
  <c r="D18" i="24" s="1"/>
  <c r="C50" i="24"/>
  <c r="C40" i="24"/>
  <c r="C44" i="24"/>
  <c r="C37" i="24"/>
  <c r="C72" i="24"/>
  <c r="D46" i="23"/>
  <c r="D45" i="23"/>
  <c r="D36" i="23"/>
  <c r="D35" i="23"/>
  <c r="D34" i="23"/>
  <c r="D33" i="23"/>
  <c r="D32" i="23"/>
  <c r="D37" i="23" s="1"/>
  <c r="D28" i="23"/>
  <c r="D27" i="23"/>
  <c r="D26" i="23"/>
  <c r="D25" i="23"/>
  <c r="D24" i="23"/>
  <c r="D23" i="23"/>
  <c r="D22" i="23"/>
  <c r="D21" i="23"/>
  <c r="D29" i="23" s="1"/>
  <c r="D17" i="23"/>
  <c r="D16" i="23"/>
  <c r="D15" i="23"/>
  <c r="D14" i="23"/>
  <c r="D13" i="23"/>
  <c r="D12" i="23"/>
  <c r="D11" i="23"/>
  <c r="D18" i="23" s="1"/>
  <c r="C50" i="23"/>
  <c r="C40" i="23"/>
  <c r="C44" i="23"/>
  <c r="C37" i="23"/>
  <c r="C72" i="23"/>
  <c r="D46" i="22"/>
  <c r="D45" i="22"/>
  <c r="D36" i="22"/>
  <c r="D35" i="22"/>
  <c r="D34" i="22"/>
  <c r="D33" i="22"/>
  <c r="D32" i="22"/>
  <c r="D37" i="22" s="1"/>
  <c r="D28" i="22"/>
  <c r="D27" i="22"/>
  <c r="D26" i="22"/>
  <c r="D25" i="22"/>
  <c r="D24" i="22"/>
  <c r="D23" i="22"/>
  <c r="D22" i="22"/>
  <c r="D21" i="22"/>
  <c r="D29" i="22" s="1"/>
  <c r="D17" i="22"/>
  <c r="D16" i="22"/>
  <c r="D15" i="22"/>
  <c r="D14" i="22"/>
  <c r="D13" i="22"/>
  <c r="D12" i="22"/>
  <c r="D11" i="22"/>
  <c r="D18" i="22" s="1"/>
  <c r="C50" i="22"/>
  <c r="C40" i="22"/>
  <c r="C44" i="22"/>
  <c r="C37" i="22"/>
  <c r="C72" i="22"/>
  <c r="D46" i="21"/>
  <c r="D45" i="21"/>
  <c r="D36" i="21"/>
  <c r="D35" i="21"/>
  <c r="D34" i="21"/>
  <c r="D33" i="21"/>
  <c r="D32" i="21"/>
  <c r="D37" i="21" s="1"/>
  <c r="D28" i="21"/>
  <c r="D27" i="21"/>
  <c r="D26" i="21"/>
  <c r="D25" i="21"/>
  <c r="D24" i="21"/>
  <c r="D23" i="21"/>
  <c r="D22" i="21"/>
  <c r="D21" i="21"/>
  <c r="D29" i="21" s="1"/>
  <c r="D17" i="21"/>
  <c r="D16" i="21"/>
  <c r="D15" i="21"/>
  <c r="D14" i="21"/>
  <c r="D13" i="21"/>
  <c r="D12" i="21"/>
  <c r="D11" i="21"/>
  <c r="D18" i="21" s="1"/>
  <c r="C50" i="21"/>
  <c r="C40" i="21"/>
  <c r="C44" i="21"/>
  <c r="C37" i="21"/>
  <c r="C72" i="21"/>
  <c r="D46" i="20"/>
  <c r="D45" i="20"/>
  <c r="D36" i="20"/>
  <c r="D35" i="20"/>
  <c r="D34" i="20"/>
  <c r="D33" i="20"/>
  <c r="D32" i="20"/>
  <c r="D37" i="20" s="1"/>
  <c r="D28" i="20"/>
  <c r="D27" i="20"/>
  <c r="D26" i="20"/>
  <c r="D25" i="20"/>
  <c r="D24" i="20"/>
  <c r="D23" i="20"/>
  <c r="D22" i="20"/>
  <c r="D21" i="20"/>
  <c r="D29" i="20" s="1"/>
  <c r="D17" i="20"/>
  <c r="D16" i="20"/>
  <c r="D15" i="20"/>
  <c r="D14" i="20"/>
  <c r="D13" i="20"/>
  <c r="D12" i="20"/>
  <c r="D11" i="20"/>
  <c r="D18" i="20" s="1"/>
  <c r="C50" i="20"/>
  <c r="C40" i="20"/>
  <c r="C44" i="20"/>
  <c r="C37" i="20"/>
  <c r="C72" i="20"/>
  <c r="D46" i="19"/>
  <c r="D45" i="19"/>
  <c r="D36" i="19"/>
  <c r="D35" i="19"/>
  <c r="D34" i="19"/>
  <c r="D33" i="19"/>
  <c r="D32" i="19"/>
  <c r="D37" i="19" s="1"/>
  <c r="D28" i="19"/>
  <c r="D27" i="19"/>
  <c r="D26" i="19"/>
  <c r="D25" i="19"/>
  <c r="D24" i="19"/>
  <c r="D23" i="19"/>
  <c r="D22" i="19"/>
  <c r="D21" i="19"/>
  <c r="D29" i="19" s="1"/>
  <c r="D17" i="19"/>
  <c r="D16" i="19"/>
  <c r="D15" i="19"/>
  <c r="D14" i="19"/>
  <c r="D13" i="19"/>
  <c r="D12" i="19"/>
  <c r="D11" i="19"/>
  <c r="D18" i="19" s="1"/>
  <c r="C50" i="19"/>
  <c r="C40" i="19"/>
  <c r="C44" i="19"/>
  <c r="C37" i="19"/>
  <c r="C72" i="19"/>
  <c r="D46" i="18"/>
  <c r="D45" i="18"/>
  <c r="D36" i="18"/>
  <c r="D35" i="18"/>
  <c r="D34" i="18"/>
  <c r="D33" i="18"/>
  <c r="D32" i="18"/>
  <c r="D37" i="18" s="1"/>
  <c r="D28" i="18"/>
  <c r="D27" i="18"/>
  <c r="D26" i="18"/>
  <c r="D25" i="18"/>
  <c r="D24" i="18"/>
  <c r="D23" i="18"/>
  <c r="D22" i="18"/>
  <c r="D21" i="18"/>
  <c r="D29" i="18" s="1"/>
  <c r="D17" i="18"/>
  <c r="D16" i="18"/>
  <c r="D15" i="18"/>
  <c r="D14" i="18"/>
  <c r="D13" i="18"/>
  <c r="D12" i="18"/>
  <c r="D11" i="18"/>
  <c r="D18" i="18" s="1"/>
  <c r="C50" i="18"/>
  <c r="C40" i="18"/>
  <c r="C44" i="18"/>
  <c r="C37" i="18"/>
  <c r="C72" i="18"/>
  <c r="D46" i="17"/>
  <c r="D45" i="17"/>
  <c r="D36" i="17"/>
  <c r="D35" i="17"/>
  <c r="D34" i="17"/>
  <c r="D33" i="17"/>
  <c r="D32" i="17"/>
  <c r="D37" i="17" s="1"/>
  <c r="D28" i="17"/>
  <c r="D27" i="17"/>
  <c r="D26" i="17"/>
  <c r="D25" i="17"/>
  <c r="D24" i="17"/>
  <c r="D23" i="17"/>
  <c r="D22" i="17"/>
  <c r="D21" i="17"/>
  <c r="D29" i="17" s="1"/>
  <c r="D17" i="17"/>
  <c r="D16" i="17"/>
  <c r="D15" i="17"/>
  <c r="D14" i="17"/>
  <c r="D13" i="17"/>
  <c r="D12" i="17"/>
  <c r="D11" i="17"/>
  <c r="D18" i="17" s="1"/>
  <c r="C50" i="17"/>
  <c r="C40" i="17"/>
  <c r="C44" i="17"/>
  <c r="C37" i="17"/>
  <c r="D46" i="16"/>
  <c r="D45" i="16"/>
  <c r="D36" i="16"/>
  <c r="D35" i="16"/>
  <c r="D34" i="16"/>
  <c r="D33" i="16"/>
  <c r="D32" i="16"/>
  <c r="D37" i="16" s="1"/>
  <c r="D28" i="16"/>
  <c r="D27" i="16"/>
  <c r="D26" i="16"/>
  <c r="D25" i="16"/>
  <c r="D24" i="16"/>
  <c r="D23" i="16"/>
  <c r="D22" i="16"/>
  <c r="D21" i="16"/>
  <c r="D29" i="16" s="1"/>
  <c r="D17" i="16"/>
  <c r="D16" i="16"/>
  <c r="D15" i="16"/>
  <c r="D14" i="16"/>
  <c r="D13" i="16"/>
  <c r="D12" i="16"/>
  <c r="D11" i="16"/>
  <c r="D18" i="16" s="1"/>
  <c r="C50" i="16"/>
  <c r="C40" i="16"/>
  <c r="C44" i="16"/>
  <c r="C37" i="16"/>
  <c r="C71" i="10"/>
  <c r="D60" i="10"/>
  <c r="D60" i="1"/>
  <c r="D65" i="10"/>
  <c r="C70" i="10"/>
  <c r="C78" i="10"/>
  <c r="B2" i="4"/>
  <c r="C79" i="10"/>
  <c r="C36" i="10"/>
  <c r="C35" i="10"/>
  <c r="C46" i="10" s="1"/>
  <c r="C34" i="10"/>
  <c r="C33" i="10"/>
  <c r="C32" i="10"/>
  <c r="C44" i="10" s="1"/>
  <c r="C28" i="10"/>
  <c r="C27" i="10"/>
  <c r="C25" i="10"/>
  <c r="C45" i="10" s="1"/>
  <c r="C24" i="10"/>
  <c r="C23" i="10"/>
  <c r="C22" i="10"/>
  <c r="C21" i="10"/>
  <c r="C29" i="10" s="1"/>
  <c r="C17" i="10"/>
  <c r="C18" i="10" s="1"/>
  <c r="D5" i="10"/>
  <c r="D35" i="10" s="1"/>
  <c r="C47" i="25" l="1"/>
  <c r="D44" i="25"/>
  <c r="D47" i="25" s="1"/>
  <c r="C41" i="25"/>
  <c r="D40" i="25"/>
  <c r="D41" i="25" s="1"/>
  <c r="C51" i="25"/>
  <c r="C53" i="25" s="1"/>
  <c r="D50" i="25"/>
  <c r="D51" i="25" s="1"/>
  <c r="D53" i="25" s="1"/>
  <c r="D55" i="25" s="1"/>
  <c r="D67" i="25" s="1"/>
  <c r="C47" i="24"/>
  <c r="D44" i="24"/>
  <c r="D47" i="24" s="1"/>
  <c r="C41" i="24"/>
  <c r="D40" i="24"/>
  <c r="D41" i="24" s="1"/>
  <c r="C51" i="24"/>
  <c r="C53" i="24" s="1"/>
  <c r="D50" i="24"/>
  <c r="D51" i="24" s="1"/>
  <c r="D53" i="24" s="1"/>
  <c r="D55" i="24" s="1"/>
  <c r="D67" i="24" s="1"/>
  <c r="C47" i="23"/>
  <c r="D44" i="23"/>
  <c r="D47" i="23" s="1"/>
  <c r="C41" i="23"/>
  <c r="D40" i="23"/>
  <c r="D41" i="23" s="1"/>
  <c r="C51" i="23"/>
  <c r="C53" i="23" s="1"/>
  <c r="D50" i="23"/>
  <c r="D51" i="23" s="1"/>
  <c r="D53" i="23" s="1"/>
  <c r="D55" i="23" s="1"/>
  <c r="D67" i="23" s="1"/>
  <c r="C47" i="22"/>
  <c r="D44" i="22"/>
  <c r="D47" i="22" s="1"/>
  <c r="C41" i="22"/>
  <c r="D40" i="22"/>
  <c r="D41" i="22" s="1"/>
  <c r="C51" i="22"/>
  <c r="C53" i="22" s="1"/>
  <c r="D50" i="22"/>
  <c r="D51" i="22" s="1"/>
  <c r="D53" i="22" s="1"/>
  <c r="D55" i="22" s="1"/>
  <c r="D67" i="22" s="1"/>
  <c r="C47" i="21"/>
  <c r="D44" i="21"/>
  <c r="D47" i="21" s="1"/>
  <c r="C41" i="21"/>
  <c r="D40" i="21"/>
  <c r="D41" i="21" s="1"/>
  <c r="C51" i="21"/>
  <c r="C53" i="21" s="1"/>
  <c r="D50" i="21"/>
  <c r="D51" i="21" s="1"/>
  <c r="D53" i="21" s="1"/>
  <c r="D55" i="21" s="1"/>
  <c r="D67" i="21" s="1"/>
  <c r="C47" i="20"/>
  <c r="D44" i="20"/>
  <c r="D47" i="20" s="1"/>
  <c r="C41" i="20"/>
  <c r="D40" i="20"/>
  <c r="D41" i="20" s="1"/>
  <c r="C51" i="20"/>
  <c r="C53" i="20" s="1"/>
  <c r="D50" i="20"/>
  <c r="D51" i="20" s="1"/>
  <c r="D53" i="20" s="1"/>
  <c r="D55" i="20" s="1"/>
  <c r="D67" i="20" s="1"/>
  <c r="C47" i="19"/>
  <c r="D44" i="19"/>
  <c r="D47" i="19" s="1"/>
  <c r="C41" i="19"/>
  <c r="D40" i="19"/>
  <c r="D41" i="19" s="1"/>
  <c r="C51" i="19"/>
  <c r="C53" i="19" s="1"/>
  <c r="D50" i="19"/>
  <c r="D51" i="19" s="1"/>
  <c r="D53" i="19" s="1"/>
  <c r="D55" i="19" s="1"/>
  <c r="D67" i="19" s="1"/>
  <c r="C47" i="18"/>
  <c r="D44" i="18"/>
  <c r="D47" i="18" s="1"/>
  <c r="C41" i="18"/>
  <c r="D40" i="18"/>
  <c r="D41" i="18" s="1"/>
  <c r="C51" i="18"/>
  <c r="C53" i="18" s="1"/>
  <c r="D50" i="18"/>
  <c r="D51" i="18" s="1"/>
  <c r="D53" i="18" s="1"/>
  <c r="D55" i="18" s="1"/>
  <c r="D67" i="18" s="1"/>
  <c r="C47" i="17"/>
  <c r="D44" i="17"/>
  <c r="D47" i="17" s="1"/>
  <c r="C41" i="17"/>
  <c r="D40" i="17"/>
  <c r="D41" i="17" s="1"/>
  <c r="C51" i="17"/>
  <c r="C53" i="17" s="1"/>
  <c r="D50" i="17"/>
  <c r="D51" i="17" s="1"/>
  <c r="D53" i="17" s="1"/>
  <c r="D55" i="17" s="1"/>
  <c r="D67" i="17" s="1"/>
  <c r="C47" i="16"/>
  <c r="D44" i="16"/>
  <c r="D47" i="16" s="1"/>
  <c r="C41" i="16"/>
  <c r="D40" i="16"/>
  <c r="D41" i="16" s="1"/>
  <c r="C51" i="16"/>
  <c r="C53" i="16" s="1"/>
  <c r="D50" i="16"/>
  <c r="D51" i="16" s="1"/>
  <c r="D53" i="16" s="1"/>
  <c r="D55" i="16" s="1"/>
  <c r="D67" i="16" s="1"/>
  <c r="C72" i="10"/>
  <c r="D36" i="10"/>
  <c r="D26" i="10"/>
  <c r="D21" i="10"/>
  <c r="D22" i="10"/>
  <c r="D13" i="10"/>
  <c r="D14" i="10"/>
  <c r="D11" i="10"/>
  <c r="D15" i="10"/>
  <c r="D16" i="10"/>
  <c r="D25" i="10"/>
  <c r="C50" i="10"/>
  <c r="C40" i="10"/>
  <c r="C41" i="10" s="1"/>
  <c r="D46" i="10"/>
  <c r="C47" i="10"/>
  <c r="D44" i="10"/>
  <c r="D47" i="10" s="1"/>
  <c r="C37" i="10"/>
  <c r="D17" i="10"/>
  <c r="D23" i="10"/>
  <c r="D27" i="10"/>
  <c r="D33" i="10"/>
  <c r="D45" i="10"/>
  <c r="D32" i="10"/>
  <c r="D12" i="10"/>
  <c r="D24" i="10"/>
  <c r="D28" i="10"/>
  <c r="D34" i="10"/>
  <c r="D70" i="25" l="1"/>
  <c r="D71" i="25"/>
  <c r="D72" i="25" s="1"/>
  <c r="D70" i="24"/>
  <c r="D71" i="24"/>
  <c r="D72" i="24" s="1"/>
  <c r="D70" i="23"/>
  <c r="D71" i="23"/>
  <c r="D72" i="23" s="1"/>
  <c r="D70" i="22"/>
  <c r="D71" i="22"/>
  <c r="D72" i="22" s="1"/>
  <c r="D70" i="21"/>
  <c r="D71" i="21"/>
  <c r="D72" i="21" s="1"/>
  <c r="D70" i="20"/>
  <c r="D71" i="20"/>
  <c r="D72" i="20" s="1"/>
  <c r="D70" i="19"/>
  <c r="D71" i="19"/>
  <c r="D72" i="19" s="1"/>
  <c r="D70" i="18"/>
  <c r="D71" i="18"/>
  <c r="D72" i="18" s="1"/>
  <c r="D70" i="17"/>
  <c r="D71" i="17" s="1"/>
  <c r="D72" i="17" s="1"/>
  <c r="D70" i="16"/>
  <c r="D71" i="16" s="1"/>
  <c r="D72" i="16" s="1"/>
  <c r="D40" i="10"/>
  <c r="D41" i="10" s="1"/>
  <c r="D29" i="10"/>
  <c r="D18" i="10"/>
  <c r="D37" i="10"/>
  <c r="D50" i="10"/>
  <c r="D51" i="10" s="1"/>
  <c r="C51" i="10"/>
  <c r="C53" i="10" s="1"/>
  <c r="C79" i="9"/>
  <c r="C72" i="9"/>
  <c r="D65" i="9"/>
  <c r="C29" i="9"/>
  <c r="C18" i="9"/>
  <c r="D5" i="9"/>
  <c r="D65" i="1"/>
  <c r="D78" i="25" l="1"/>
  <c r="D77" i="25"/>
  <c r="D76" i="25"/>
  <c r="D75" i="25"/>
  <c r="D79" i="25" s="1"/>
  <c r="D81" i="25" s="1"/>
  <c r="E13" i="4" s="1"/>
  <c r="D78" i="24"/>
  <c r="D77" i="24"/>
  <c r="D76" i="24"/>
  <c r="D75" i="24"/>
  <c r="D79" i="24" s="1"/>
  <c r="D81" i="24" s="1"/>
  <c r="E12" i="4" s="1"/>
  <c r="D78" i="23"/>
  <c r="D77" i="23"/>
  <c r="D76" i="23"/>
  <c r="D75" i="23"/>
  <c r="D79" i="23" s="1"/>
  <c r="D81" i="23" s="1"/>
  <c r="E9" i="4" s="1"/>
  <c r="D78" i="22"/>
  <c r="D77" i="22"/>
  <c r="D76" i="22"/>
  <c r="D75" i="22"/>
  <c r="D79" i="22" s="1"/>
  <c r="D81" i="22" s="1"/>
  <c r="E14" i="4" s="1"/>
  <c r="D78" i="21"/>
  <c r="D77" i="21"/>
  <c r="D76" i="21"/>
  <c r="D75" i="21"/>
  <c r="D79" i="21" s="1"/>
  <c r="D81" i="21" s="1"/>
  <c r="E11" i="4" s="1"/>
  <c r="D78" i="20"/>
  <c r="D77" i="20"/>
  <c r="D76" i="20"/>
  <c r="D75" i="20"/>
  <c r="D79" i="20" s="1"/>
  <c r="D81" i="20" s="1"/>
  <c r="E8" i="4" s="1"/>
  <c r="G8" i="4" s="1"/>
  <c r="D78" i="19"/>
  <c r="D77" i="19"/>
  <c r="D76" i="19"/>
  <c r="D75" i="19"/>
  <c r="D79" i="19" s="1"/>
  <c r="D81" i="19" s="1"/>
  <c r="E10" i="4" s="1"/>
  <c r="D78" i="18"/>
  <c r="D77" i="18"/>
  <c r="D76" i="18"/>
  <c r="D75" i="18"/>
  <c r="D79" i="18" s="1"/>
  <c r="D81" i="18" s="1"/>
  <c r="E7" i="4" s="1"/>
  <c r="G7" i="4" s="1"/>
  <c r="D78" i="17"/>
  <c r="D77" i="17"/>
  <c r="D76" i="17"/>
  <c r="D75" i="17"/>
  <c r="D79" i="17" s="1"/>
  <c r="D81" i="17" s="1"/>
  <c r="E5" i="4" s="1"/>
  <c r="G5" i="4" s="1"/>
  <c r="D78" i="16"/>
  <c r="D77" i="16"/>
  <c r="D76" i="16"/>
  <c r="D75" i="16"/>
  <c r="D79" i="16" s="1"/>
  <c r="D81" i="16" s="1"/>
  <c r="E4" i="4" s="1"/>
  <c r="G4" i="4" s="1"/>
  <c r="D26" i="9"/>
  <c r="D16" i="9"/>
  <c r="D15" i="9"/>
  <c r="D14" i="9"/>
  <c r="D13" i="9"/>
  <c r="D12" i="9"/>
  <c r="D11" i="9"/>
  <c r="D17" i="9"/>
  <c r="D21" i="9"/>
  <c r="D22" i="9"/>
  <c r="D23" i="9"/>
  <c r="D24" i="9"/>
  <c r="D25" i="9"/>
  <c r="D27" i="9"/>
  <c r="D28" i="9"/>
  <c r="D32" i="9"/>
  <c r="D33" i="9"/>
  <c r="D34" i="9"/>
  <c r="D35" i="9"/>
  <c r="D36" i="9"/>
  <c r="D40" i="9"/>
  <c r="D44" i="9"/>
  <c r="D45" i="9"/>
  <c r="D46" i="9"/>
  <c r="D50" i="9"/>
  <c r="C3" i="4"/>
  <c r="C47" i="9"/>
  <c r="D53" i="10"/>
  <c r="D55" i="10" s="1"/>
  <c r="D67" i="10" s="1"/>
  <c r="C37" i="9"/>
  <c r="C41" i="9"/>
  <c r="C51" i="9"/>
  <c r="D41" i="9"/>
  <c r="G14" i="4" l="1"/>
  <c r="F14" i="4"/>
  <c r="H14" i="4" s="1"/>
  <c r="G13" i="4"/>
  <c r="F13" i="4"/>
  <c r="H13" i="4" s="1"/>
  <c r="G12" i="4"/>
  <c r="F12" i="4"/>
  <c r="H12" i="4" s="1"/>
  <c r="G11" i="4"/>
  <c r="F11" i="4"/>
  <c r="H11" i="4" s="1"/>
  <c r="G10" i="4"/>
  <c r="F10" i="4"/>
  <c r="H10" i="4" s="1"/>
  <c r="G9" i="4"/>
  <c r="F9" i="4"/>
  <c r="H9" i="4" s="1"/>
  <c r="D83" i="25"/>
  <c r="D84" i="25" s="1"/>
  <c r="D82" i="25"/>
  <c r="D13" i="4" s="1"/>
  <c r="D83" i="24"/>
  <c r="D84" i="24" s="1"/>
  <c r="D82" i="24"/>
  <c r="D12" i="4" s="1"/>
  <c r="D83" i="23"/>
  <c r="D84" i="23" s="1"/>
  <c r="D82" i="23"/>
  <c r="D9" i="4" s="1"/>
  <c r="D83" i="22"/>
  <c r="D84" i="22" s="1"/>
  <c r="D82" i="22"/>
  <c r="D14" i="4" s="1"/>
  <c r="D83" i="21"/>
  <c r="D84" i="21" s="1"/>
  <c r="D82" i="21"/>
  <c r="D11" i="4" s="1"/>
  <c r="D83" i="20"/>
  <c r="D84" i="20" s="1"/>
  <c r="D82" i="20"/>
  <c r="D8" i="4" s="1"/>
  <c r="D83" i="19"/>
  <c r="D84" i="19" s="1"/>
  <c r="D82" i="19"/>
  <c r="D10" i="4" s="1"/>
  <c r="D83" i="18"/>
  <c r="D84" i="18" s="1"/>
  <c r="D82" i="18"/>
  <c r="D7" i="4" s="1"/>
  <c r="D83" i="17"/>
  <c r="D84" i="17" s="1"/>
  <c r="D82" i="17"/>
  <c r="D5" i="4" s="1"/>
  <c r="D83" i="16"/>
  <c r="D84" i="16" s="1"/>
  <c r="D82" i="16"/>
  <c r="D4" i="4" s="1"/>
  <c r="D37" i="9"/>
  <c r="C53" i="9"/>
  <c r="D70" i="10"/>
  <c r="D71" i="10" s="1"/>
  <c r="D72" i="10" s="1"/>
  <c r="D18" i="9"/>
  <c r="D29" i="9"/>
  <c r="D51" i="9"/>
  <c r="D47" i="9"/>
  <c r="C79" i="1"/>
  <c r="C72" i="1"/>
  <c r="C35" i="1"/>
  <c r="C46" i="1" s="1"/>
  <c r="C34" i="1"/>
  <c r="C33" i="1"/>
  <c r="C32" i="1"/>
  <c r="C28" i="1"/>
  <c r="C27" i="1"/>
  <c r="C36" i="1" s="1"/>
  <c r="C25" i="1"/>
  <c r="C45" i="1" s="1"/>
  <c r="C24" i="1"/>
  <c r="C23" i="1"/>
  <c r="C22" i="1"/>
  <c r="C21" i="1"/>
  <c r="C17" i="1"/>
  <c r="C18" i="1" s="1"/>
  <c r="C50" i="1" s="1"/>
  <c r="D5" i="1"/>
  <c r="C2" i="4" s="1"/>
  <c r="F5" i="4" l="1"/>
  <c r="H5" i="4" s="1"/>
  <c r="D76" i="10"/>
  <c r="D77" i="10"/>
  <c r="D78" i="10"/>
  <c r="D75" i="10"/>
  <c r="D53" i="9"/>
  <c r="D55" i="9" s="1"/>
  <c r="D67" i="9" s="1"/>
  <c r="D45" i="1"/>
  <c r="C29" i="1"/>
  <c r="C40" i="1" s="1"/>
  <c r="C37" i="1"/>
  <c r="D36" i="1"/>
  <c r="D11" i="1"/>
  <c r="D26" i="1"/>
  <c r="D46" i="1"/>
  <c r="D12" i="1"/>
  <c r="D34" i="1"/>
  <c r="D15" i="1"/>
  <c r="D16" i="1"/>
  <c r="D22" i="1"/>
  <c r="D13" i="1"/>
  <c r="D24" i="1"/>
  <c r="D28" i="1"/>
  <c r="C51" i="1"/>
  <c r="D50" i="1"/>
  <c r="D51" i="1" s="1"/>
  <c r="C44" i="1"/>
  <c r="D32" i="1"/>
  <c r="D14" i="1"/>
  <c r="D17" i="1"/>
  <c r="D21" i="1"/>
  <c r="D23" i="1"/>
  <c r="D25" i="1"/>
  <c r="D27" i="1"/>
  <c r="D33" i="1"/>
  <c r="D35" i="1"/>
  <c r="D70" i="9" l="1"/>
  <c r="D71" i="9" s="1"/>
  <c r="D72" i="9" s="1"/>
  <c r="D78" i="9"/>
  <c r="D77" i="9"/>
  <c r="D76" i="9"/>
  <c r="D75" i="9"/>
  <c r="D79" i="10"/>
  <c r="D81" i="10" s="1"/>
  <c r="D18" i="1"/>
  <c r="C41" i="1"/>
  <c r="D40" i="1"/>
  <c r="D41" i="1" s="1"/>
  <c r="D37" i="1"/>
  <c r="D29" i="1"/>
  <c r="C47" i="1"/>
  <c r="C53" i="1" s="1"/>
  <c r="D44" i="1"/>
  <c r="D47" i="1" s="1"/>
  <c r="F4" i="4" l="1"/>
  <c r="H4" i="4" s="1"/>
  <c r="E6" i="4"/>
  <c r="D82" i="10"/>
  <c r="D6" i="4" s="1"/>
  <c r="D83" i="10"/>
  <c r="D84" i="10" s="1"/>
  <c r="D79" i="9"/>
  <c r="D81" i="9" s="1"/>
  <c r="E3" i="4" s="1"/>
  <c r="F3" i="4" s="1"/>
  <c r="H3" i="4" s="1"/>
  <c r="D53" i="1"/>
  <c r="D55" i="1" s="1"/>
  <c r="D67" i="1" s="1"/>
  <c r="D70" i="1" s="1"/>
  <c r="D71" i="1" s="1"/>
  <c r="D72" i="1" s="1"/>
  <c r="D75" i="1" s="1"/>
  <c r="G6" i="4" l="1"/>
  <c r="F6" i="4"/>
  <c r="H6" i="4" s="1"/>
  <c r="D83" i="9"/>
  <c r="D84" i="9" s="1"/>
  <c r="D82" i="9"/>
  <c r="D78" i="1"/>
  <c r="D76" i="1"/>
  <c r="D77" i="1"/>
  <c r="D79" i="1" l="1"/>
  <c r="D81" i="1" s="1"/>
  <c r="E2" i="4" l="1"/>
  <c r="D82" i="1"/>
  <c r="D2" i="4" s="1"/>
  <c r="D83" i="1"/>
  <c r="D84" i="1" s="1"/>
  <c r="F2" i="4" l="1"/>
  <c r="H2" i="4" s="1"/>
  <c r="G2" i="4"/>
  <c r="G15" i="4" s="1"/>
  <c r="F7" i="4"/>
  <c r="H7" i="4" s="1"/>
  <c r="F8" i="4"/>
  <c r="H8" i="4" s="1"/>
  <c r="H15" i="4" l="1"/>
</calcChain>
</file>

<file path=xl/sharedStrings.xml><?xml version="1.0" encoding="utf-8"?>
<sst xmlns="http://schemas.openxmlformats.org/spreadsheetml/2006/main" count="1123" uniqueCount="207">
  <si>
    <t>Item</t>
  </si>
  <si>
    <t>Qtd</t>
  </si>
  <si>
    <r>
      <t>Remuneração mensal (R$)</t>
    </r>
    <r>
      <rPr>
        <sz val="8"/>
        <color rgb="FF000000"/>
        <rFont val="Calibri"/>
        <family val="2"/>
        <scheme val="minor"/>
      </rPr>
      <t> </t>
    </r>
  </si>
  <si>
    <t>Fator-K</t>
  </si>
  <si>
    <r>
      <t>Posto de trabalho mensal (Valor unitário em R$)</t>
    </r>
    <r>
      <rPr>
        <sz val="8"/>
        <color rgb="FF000000"/>
        <rFont val="Calibri"/>
        <family val="2"/>
        <scheme val="minor"/>
      </rPr>
      <t> </t>
    </r>
  </si>
  <si>
    <t>Posto de trabalho anual (Valor unitário em R$)</t>
  </si>
  <si>
    <t>Valor total mensal (R$)</t>
  </si>
  <si>
    <t>Valor total anual (R$)</t>
  </si>
  <si>
    <t xml:space="preserve">Analista de UX (Experiência do Usuário) </t>
  </si>
  <si>
    <t>Analista de Requisitos </t>
  </si>
  <si>
    <t>Analista/Desenvolvedor – Plataforma Baixa e Mobile </t>
  </si>
  <si>
    <t>Analista de Configuração e Mudança (DevSecOps) </t>
  </si>
  <si>
    <t>Administrador de banco de dados (DBA)</t>
  </si>
  <si>
    <t>Gerente de Projetos </t>
  </si>
  <si>
    <t>Scrum Master</t>
  </si>
  <si>
    <t>Analista de Ambiente de QA </t>
  </si>
  <si>
    <t>Arquiteto de Software </t>
  </si>
  <si>
    <t xml:space="preserve">Inovação/Experimentação 	</t>
  </si>
  <si>
    <t xml:space="preserve">Plataforma IA/Cognitivo 	</t>
  </si>
  <si>
    <t>BPM e RPA </t>
  </si>
  <si>
    <t xml:space="preserve">Plataformas/Ambientes, SOA / API 	</t>
  </si>
  <si>
    <t>TOTAL</t>
  </si>
  <si>
    <t xml:space="preserve"> </t>
  </si>
  <si>
    <t>Posto de trabalho de Analista de UX (Experiência do Usuário)</t>
  </si>
  <si>
    <t>Percentuais/valores com fundo em amarelo podem ser alterados de acordo com as condições da licitante; 
em caso de alteração, seus cálculos devem ser justificados ao lado da célula e devem obedecer ao
mínimo previsto em CCT e/ou Lei.</t>
  </si>
  <si>
    <t xml:space="preserve">I - COMPOSIÇÃO DA REMUNERAÇÃO </t>
  </si>
  <si>
    <t>Valores com fundo em azul estão ajustados para seus valores mínimos. 
Podem sem aumentados pela licitante.</t>
  </si>
  <si>
    <t>Salário Base</t>
  </si>
  <si>
    <t xml:space="preserve">TOTAL DA REMUNERAÇÃO </t>
  </si>
  <si>
    <t xml:space="preserve">II - ENCARGOS SOCIAIS INCIDENTES SOBRE A REMUNERAÇÃO </t>
  </si>
  <si>
    <t>GRUPO A - ENCARGOS</t>
  </si>
  <si>
    <t>A.01 SEGURIDADE SOCIAL</t>
  </si>
  <si>
    <t>-</t>
  </si>
  <si>
    <t>A.02 FGTS</t>
  </si>
  <si>
    <t>A.03 SESI/SESC</t>
  </si>
  <si>
    <t>A.04 SENAI/SENAC</t>
  </si>
  <si>
    <t>A.05 INCRA</t>
  </si>
  <si>
    <t>A.06 SEBRAE</t>
  </si>
  <si>
    <t>A.07 Salário Educação</t>
  </si>
  <si>
    <t>A.08 Riscos Ambientais do Trabalho – RAT x FAP</t>
  </si>
  <si>
    <t>TOTAL - GRUPO A</t>
  </si>
  <si>
    <t>GRUPO B</t>
  </si>
  <si>
    <t>B.01 13º Salário</t>
  </si>
  <si>
    <t>B.02 Férias (sem o abono de 1/3)</t>
  </si>
  <si>
    <t>B.03 Aviso Prévio Trabalhado</t>
  </si>
  <si>
    <t>B.04 Auxílio Doença</t>
  </si>
  <si>
    <t>B.05 Acidente de Trabalho</t>
  </si>
  <si>
    <t>B.06 Faltas Legais</t>
  </si>
  <si>
    <t>B.07 Férias sobre Licença Maternidade</t>
  </si>
  <si>
    <t>B.08 Licença Paternidade</t>
  </si>
  <si>
    <t>TOTAL - GRUPO B</t>
  </si>
  <si>
    <t>GRUPO C</t>
  </si>
  <si>
    <t>C.01 Aviso Prévio Indenizado</t>
  </si>
  <si>
    <t>C.02 Indenização Adicional</t>
  </si>
  <si>
    <t>C.03 Indenização (rescisão sem justa causa – multa de 40% do FGTS)</t>
  </si>
  <si>
    <t>C.04 Abono de Férias - 1/3 constitucional</t>
  </si>
  <si>
    <t>C.05 Abono de Férias - 1/3 constitucional sobre licença maternidade</t>
  </si>
  <si>
    <t xml:space="preserve">TOTAL - GRUPO C </t>
  </si>
  <si>
    <t>GRUPO D</t>
  </si>
  <si>
    <t>D.01 Incidência dos encargos do grupo A sobre o grupo B</t>
  </si>
  <si>
    <t>TOTAL - GRUPO D</t>
  </si>
  <si>
    <t>GRUPO E</t>
  </si>
  <si>
    <t>E.01 Incidência do FGTS sobre o aviso prévio indenizado</t>
  </si>
  <si>
    <t>E.02 Incidência do FGTS sobre o período médio de afastamento superior a 15 dias motivado por acidente do trabalho</t>
  </si>
  <si>
    <t>E.03 Incidência de FGTS sobre férias 1/3 constitucional</t>
  </si>
  <si>
    <t xml:space="preserve">TOTAL - GRUPO E </t>
  </si>
  <si>
    <t>GRUPO F</t>
  </si>
  <si>
    <t xml:space="preserve">F.01 Incidência dos encargos do Grupo A sobre os valores constantes da base de cálculo referente ao salário maternidade </t>
  </si>
  <si>
    <t>TOTAL - GRUPO F</t>
  </si>
  <si>
    <t xml:space="preserve">TOTAL - ENCARGOS SOCIAIS </t>
  </si>
  <si>
    <t xml:space="preserve">VALOR TOTAL DE REMUNERAÇÃO + ENCARGOS SOCIAIS </t>
  </si>
  <si>
    <t>III - INSUMOS</t>
  </si>
  <si>
    <t>Assistência médica e odontológica</t>
  </si>
  <si>
    <t>Seguro de vida invalidez e funeral</t>
  </si>
  <si>
    <t xml:space="preserve">Vale Transporte </t>
  </si>
  <si>
    <t>Auxílio Alimentação</t>
  </si>
  <si>
    <t xml:space="preserve">Depreciação de Equipamentos (PC/notebook) 
</t>
  </si>
  <si>
    <t>Conectividade à Internet (apenas para prestação remota)</t>
  </si>
  <si>
    <t>Outros insumos</t>
  </si>
  <si>
    <t>Preencher com outros insumos, se for o caso</t>
  </si>
  <si>
    <t xml:space="preserve">TOTAL - INSUMOS </t>
  </si>
  <si>
    <t xml:space="preserve">TOTAL DE REMUNERAÇÃO + ENCARGOS SOCIAIS + INSUMOS </t>
  </si>
  <si>
    <t>V - LDI E TRIBUTAÇÃO</t>
  </si>
  <si>
    <t>Despesas Administrativas/Operacionais</t>
  </si>
  <si>
    <t>Lucro</t>
  </si>
  <si>
    <t>TOTAL - LUCRO E DESPESAS INDIRETAS</t>
  </si>
  <si>
    <t>TRIBUTAÇÃO SOBRE FATURAMENTO</t>
  </si>
  <si>
    <t>ISS</t>
  </si>
  <si>
    <t>Utilizado o ISS do local de execução dos serviços: Brasília/DF</t>
  </si>
  <si>
    <t>COFINS</t>
  </si>
  <si>
    <t>PIS</t>
  </si>
  <si>
    <t>CPRB</t>
  </si>
  <si>
    <t>TOTAL - TRIBUTAÇÃO SOBRE FATURAMENTO</t>
  </si>
  <si>
    <t>VALOR UNITÁRIO MENSAL DO POSTO</t>
  </si>
  <si>
    <t>Fatok-K</t>
  </si>
  <si>
    <t>VALOR UNITÁRIO ANUAL</t>
  </si>
  <si>
    <t>VALOR GLOBAL ANUAL 
(TOTAL DE POSTOS)</t>
  </si>
  <si>
    <t>Legenda:</t>
  </si>
  <si>
    <t>Posto de trabalho de Analista de Requisitos</t>
  </si>
  <si>
    <t xml:space="preserve">Posto de trabalho de Analista/Desenvolvedor – Plataforma Baixa e Mobile </t>
  </si>
  <si>
    <t>Posto de trabalho de DevSecOps</t>
  </si>
  <si>
    <t>Posto de trabalho de administrador de banco de dados (DBA)</t>
  </si>
  <si>
    <t>Posto de trabalho de Gerente de Projetos</t>
  </si>
  <si>
    <t>Posto de trabalho de Scrum Master </t>
  </si>
  <si>
    <t>Posto de trabalho de Inovação/Experimentação</t>
  </si>
  <si>
    <t xml:space="preserve">Posto de trabalho de Arquiteto de Software </t>
  </si>
  <si>
    <t>Posto de trabalho de Plataforma IA/Cognitivo</t>
  </si>
  <si>
    <t>Posto de trabalho de BPM e RPA </t>
  </si>
  <si>
    <t>Posto de trabalho dePlataformas/Ambientes, SOA / API </t>
  </si>
  <si>
    <t>1. MÃO DE OBRA</t>
  </si>
  <si>
    <r>
      <t xml:space="preserve">1.1. </t>
    </r>
    <r>
      <rPr>
        <i/>
        <sz val="12"/>
        <color theme="1"/>
        <rFont val="Calibri"/>
        <family val="2"/>
        <scheme val="minor"/>
      </rPr>
      <t>Vide remuneração para cada perfil profissional e nível de senioridade na respectiva planilha.</t>
    </r>
  </si>
  <si>
    <t>2. ENCARGOS SOCIAIS INCIDENTES SOBRE A REMUNERAÇÃO</t>
  </si>
  <si>
    <t>2.1. CÁLCULOS DO GRUPO A</t>
  </si>
  <si>
    <t>ITEM</t>
  </si>
  <si>
    <t>% - FÓRMULA</t>
  </si>
  <si>
    <t>FUNDAMENTO</t>
  </si>
  <si>
    <t>A.01 – SEGURIDADE SOCIAL</t>
  </si>
  <si>
    <t>*Originalmente: 20%, via Art. 2°, § 3º, da Lei nº 11.457/07. Contudo, vigente a desoneração: CPRB Art. 7ºA - Lei nº 12.546/2011. CPRB de 4,5% será lançado nos tributos sorbre o faturamento.</t>
  </si>
  <si>
    <t>A.02 – FGTS</t>
  </si>
  <si>
    <t>Art. 15, Lei nº 8.036/90 e Art. 7º, III, da CF/88.</t>
  </si>
  <si>
    <t>A.03 – SESI/SESC</t>
  </si>
  <si>
    <t>Art. 30, Lei nº 8.036/90.</t>
  </si>
  <si>
    <t>A.04 – SENAI/SENAC</t>
  </si>
  <si>
    <r>
      <t xml:space="preserve">Art. 1º, </t>
    </r>
    <r>
      <rPr>
        <i/>
        <sz val="12"/>
        <color theme="1"/>
        <rFont val="Calibri"/>
        <family val="2"/>
        <scheme val="minor"/>
      </rPr>
      <t>caput</t>
    </r>
    <r>
      <rPr>
        <sz val="12"/>
        <color theme="1"/>
        <rFont val="Calibri"/>
        <family val="2"/>
        <scheme val="minor"/>
      </rPr>
      <t xml:space="preserve">, Decreto-Lei nº 6.246/44 (SENAI) e art. 4º, </t>
    </r>
    <r>
      <rPr>
        <i/>
        <sz val="12"/>
        <color theme="1"/>
        <rFont val="Calibri"/>
        <family val="2"/>
        <scheme val="minor"/>
      </rPr>
      <t>caput</t>
    </r>
    <r>
      <rPr>
        <sz val="12"/>
        <color theme="1"/>
        <rFont val="Calibri"/>
        <family val="2"/>
        <scheme val="minor"/>
      </rPr>
      <t xml:space="preserve"> do Decreto-Lei nº 8.621/46 (SENAC).</t>
    </r>
  </si>
  <si>
    <t>A.05 – INCRA</t>
  </si>
  <si>
    <t>Art. 1°, I, 2 c/c art. 3°, ambos do Decreto-Lei nº 1.146/70.</t>
  </si>
  <si>
    <t xml:space="preserve">A.06 – SEBRAE </t>
  </si>
  <si>
    <t>Art. 8º, Lei nº 8.029/90.</t>
  </si>
  <si>
    <t xml:space="preserve">A.07 – Salário Educação </t>
  </si>
  <si>
    <t>Art. 3º, Inciso I, Decreto nº 87.043/82.</t>
  </si>
  <si>
    <t>A.08 – Riscos Ambientais do Trabalho – RAT x FAP</t>
  </si>
  <si>
    <t>FAP máximo é 2% (§ 2º do art. 202-A do Decreto nº 3.048/1999) e o RAT para a atividade de desenvolvimento de programas de computador é 1% (código 6201-5/00. Anexo V do Decreto nº 3.048/1999).</t>
  </si>
  <si>
    <r>
      <rPr>
        <b/>
        <sz val="12"/>
        <color theme="1"/>
        <rFont val="Calibri"/>
        <family val="2"/>
        <scheme val="minor"/>
      </rPr>
      <t>Observações</t>
    </r>
    <r>
      <rPr>
        <sz val="12"/>
        <color theme="1"/>
        <rFont val="Calibri"/>
        <family val="2"/>
        <scheme val="minor"/>
      </rPr>
      <t>: 
A licitante deve preencher o item A.08 das planilhas de composição de custos e formação de preços com o valor de seu RATxFAP, a ser comprovado no envio de sua proposta adequada ao lance vencedor, mediante apresentação da GFIP ou outro documento apto a fazê-lo.</t>
    </r>
  </si>
  <si>
    <t>2.2. CÁLCULOS DO GRUPO B</t>
  </si>
  <si>
    <t>B.01 – 13º SALÁRIO</t>
  </si>
  <si>
    <t>8,333% = ((1/12)*100)</t>
  </si>
  <si>
    <t>Art. 7º, VIII, CF/88.</t>
  </si>
  <si>
    <t>B.02 – FÉRIAS</t>
  </si>
  <si>
    <t>B.03 – AVISO PRÉVIO TRABALHADO</t>
  </si>
  <si>
    <t>1,944% = ((100%/30)*7)/12</t>
  </si>
  <si>
    <t>Art. 7º, XXI, CF/88, e Arts. 477, 487 e ss. da CLT.</t>
  </si>
  <si>
    <t>B.04 – AUXÍLIO DOENÇA</t>
  </si>
  <si>
    <t>0,222% = (Benefíicos de auxílio-doença urbano / População economicamente ativa ocupada)/12</t>
  </si>
  <si>
    <t>Art. 59 e ss. da Lei nº 8.213/91.</t>
  </si>
  <si>
    <t>B.05 – ACIDENTE DE TRABALHO</t>
  </si>
  <si>
    <t>0,051% = (((100%/30)*15)/12)*(nº CAT/População INSS CAT)</t>
  </si>
  <si>
    <t>Art. 19 a 23 da Lei nº 8.213/91.</t>
  </si>
  <si>
    <t xml:space="preserve">B.06 – FALTAS LEGAIS </t>
  </si>
  <si>
    <t>0,415% = ((100%/30)*1,4947)/12</t>
  </si>
  <si>
    <t>B.07 – FÉRIAS SOBRE LICENÇA MATERNIDADE</t>
  </si>
  <si>
    <t>0,039% = ((8,333%*1,416%*4/12)*100)</t>
  </si>
  <si>
    <t>Impacto do item férias sobre a licença maternidade.</t>
  </si>
  <si>
    <t>B.08 – LICENÇA PATERNIDADE</t>
  </si>
  <si>
    <t>0,020% = (((100%/30)*5)/12)*1,416%</t>
  </si>
  <si>
    <t>Art. 7º, XIX, CF/88 e 10, §1º, da ADCT.</t>
  </si>
  <si>
    <r>
      <rPr>
        <b/>
        <sz val="12"/>
        <color theme="1"/>
        <rFont val="Calibri"/>
        <family val="2"/>
        <scheme val="minor"/>
      </rPr>
      <t>Observaçoes</t>
    </r>
    <r>
      <rPr>
        <sz val="12"/>
        <color theme="1"/>
        <rFont val="Calibri"/>
        <family val="2"/>
        <scheme val="minor"/>
      </rPr>
      <t xml:space="preserve">: </t>
    </r>
  </si>
  <si>
    <t xml:space="preserve">B.03 - Redução de 7 dias ou de 2h por dia para 100 % dos empregados. Percentual relativo a contrato de 12 (doze) meses. </t>
  </si>
  <si>
    <t xml:space="preserve">B.04 - De acordo com dados do MTPS, foram concedidos 1.462.463 benefícios de auxílio-doença urbano no ano de 2013 em uma população de contribuintes para o INSS de 54.796.761 pessoas (http://www.mtps.gov.br/dados-abertos/dados-da-previdencia/previdencia-social-e-inss/boletim_x0002_estatistico-da-previdencia-social-beps). </t>
  </si>
  <si>
    <t xml:space="preserve">B.05 - Estimativa de 1 licença de 15 dias por ano para 1,22% dos empregados. Esta taxa foi obtida pela proporção de acidentes de trabalho registrados, 717.911, conforme dados do Anuário Estatístico da Previdência Social – AEPS/2013, em relação a 58.981.000 de trabalhadores que fazem jus a emissão da CAT (trabalhadores com carteira assinada, outros tipos de trabalhadores e domésticas), conforme dados da PNAD 2013. </t>
  </si>
  <si>
    <t>B.06 - Estimativa de 1,4947 ausências por ano, de acordo com a IN 2/2008-MPOG.</t>
  </si>
  <si>
    <t>B.07 - Estimativa de 1,416% (taxa de natalidade da população brasileira/IBGE) de empregadas usufruindo 4 meses de licença por ano.</t>
  </si>
  <si>
    <t>B.08 - Estimativa de 1,416% (taxa de natalidade da população brasileira/IBGE) dos empregados usufruindo 5 dias da licença por ano.</t>
  </si>
  <si>
    <t>2.3. CÁLCULOS DO GRUPO C</t>
  </si>
  <si>
    <t>C.01 – AVISO PRÉVIO INDENIZADO</t>
  </si>
  <si>
    <t>0,417% = ((0,05*(1/12))*100)</t>
  </si>
  <si>
    <t>Art. 7º, XXI, CF/88, 477, 487 e ss. CLT.</t>
  </si>
  <si>
    <t>C.02 – INDENIZAÇÃO ADICIONAL</t>
  </si>
  <si>
    <t>0,286% = (1/12*3,4275%)</t>
  </si>
  <si>
    <t>Art. 9º da Lei nº 7.238/84.</t>
  </si>
  <si>
    <t>C.03 – INDENIZAÇÃO 40% FGTS</t>
  </si>
  <si>
    <t>3,200% = (0,40*0,08*100)</t>
  </si>
  <si>
    <t>Art. 18, §1º da Lei 8.036/90.</t>
  </si>
  <si>
    <t>C.04 – ABONO DE FÉRIAS - 1/3 CONSTITUCIONAL</t>
  </si>
  <si>
    <t>2,778% = ((1/3)/12*100)</t>
  </si>
  <si>
    <t>Art. 7º, XVII, CF/88.</t>
  </si>
  <si>
    <t>C.05 – ABONO DE FÉRIAS - 1/3 CONSTITUCIONAL SOBRE LICENÇA MATERNIDADE</t>
  </si>
  <si>
    <t>0,013% = (((1/3)/12)*0,02*(4/12)*100))</t>
  </si>
  <si>
    <t>C.01 - Estimativa de que 5% (cinco por cento) dos empregados serão substituídos durante um ano.</t>
  </si>
  <si>
    <t>C.02 - Estimativa de que 3,4275% dos empregados receberão indenização de acordo com a média nacional de 12 meses (abril 2015 - março 2016) da Taxa de Rotatividade por Nível Geográfico - M.T.E./CAGED.</t>
  </si>
  <si>
    <t>C.03 - Multa de 40% do FGTS em relação aos trabalhadores contratados.</t>
  </si>
  <si>
    <t>2.4. CÁLCULOS DO GRUPO D</t>
  </si>
  <si>
    <t>D.01 – ENCARGOS DO GRUPO A SOBRE OS ENCARGOS DO GRUPO B</t>
  </si>
  <si>
    <t>(% TOTAL GRUPO A) * (% TOTAL GRUPO B) = D.01</t>
  </si>
  <si>
    <t>2.5. CÁLCULOS DO GRUPO E</t>
  </si>
  <si>
    <t>E.01 – INCIDÊNCIA DO FGTS EXCLUSIVAMENTE SOBRE O AVISO PRÉVIO INDENIZADO</t>
  </si>
  <si>
    <t>0,033% = A.02*C.01</t>
  </si>
  <si>
    <t>Súmula nº 305 do TST.</t>
  </si>
  <si>
    <t>E.02 – FGTS SOBRE AFASTAMENTO SUPERIOR A 15 DIAS POR ACIDENTE DE TRABALHO</t>
  </si>
  <si>
    <t>0,004% = A.02*B.05</t>
  </si>
  <si>
    <t>Lei n.º 8.036/90, art. 15, §5º.</t>
  </si>
  <si>
    <t>E.03 – FGTS SOBRE ABONO DE FÉRIAS - 1/3 CONSTITUCIONAL</t>
  </si>
  <si>
    <t>0,222% = A.02*C.04</t>
  </si>
  <si>
    <t>E.02 - Estimativa de que 8% (oito por cento) dos empregados sofrem acidentes durante o ano, com ausência média de 30 dias durante o ano. O percentual do FGTS (8%) será aplicado somente sobre os 15 dias restantes do afastamento, porque os 15 primeiros dias já foram calculados no item B.05.</t>
  </si>
  <si>
    <t>2.6. CÁLCULOS DO GRUPO F</t>
  </si>
  <si>
    <t>F.01 – ENCARGOS DO GRUPO A SOBRE SALÁRIO MATERNIDADE</t>
  </si>
  <si>
    <t>(% TOTAL GRUPO A)*(4/12)*(2/100) = F.01</t>
  </si>
  <si>
    <t>3. INSUMOS</t>
  </si>
  <si>
    <t xml:space="preserve">Os valores foram calculados de acordo com a convenção coletiva de trabalho firmada entre os sindicatos das categorias profissionais e econômicas envolvidas na prestação dos serviços ora licitados. </t>
  </si>
  <si>
    <t xml:space="preserve">Apenas em caso de prestação remota em que o notebook/PC com as especificações necessárias não seja fornecido pelo Confea, a Contratada deve fornecê-lo ao funcionário, cobrando do Confea a depreciação mensal. Valores baseados na pesquisa de preços. Custo de aquisição de R$8.800,00. Depreciação anual de 20% com 5 anos de vida útil,   com valor residual de R$1000: Depreciação mensal = (Custo de aquisição – Valor residual) / Anos de vida útil x 12 =&gt; Depreciação mensal = 8800-800/5*12 = ~R$135,00 </t>
  </si>
  <si>
    <t>Conectividade à Internet 
(apenas para prestação remota)</t>
  </si>
  <si>
    <t>Apenas para prestação remota. A velocidade a ser contratada foi calculada a partir das seguintes premissas: a) Resolução da Anatel obriga as operadoras a fornecerem ao menos 40% da velocidade contratada como taxa de transmissão instantânea; b) Considerando as atividades típicas de desenvolvedores e designers, a taxa de transmissão mínima desejada é de 35Mbps. Portanto, a velocidade a ser contratada deve ser próxima de 35/40% = 90Mbps por pessoa que utilize a rede. Considerando os planos disponíveis em comercialização, o valor em voga para esta taxa de transmissão em contratos residenciais é de R$150,00.</t>
  </si>
  <si>
    <t>4. LUCRO E DESPESAS INDIRETAS E TRIBUTAÇÃO SOBRE FATURAMENTO</t>
  </si>
  <si>
    <t>4.1. Lucro e Despesas Indiretas – LDI:</t>
  </si>
  <si>
    <t>4.1.1. Para fins de estimativa, nas rubricas “Custos Indiretos (despesas operacionais e administrativas)” e “Lucro”, foram consideradas, respectivamente, as despesas administrativas e operacionais e a margem de lucro. Os valores para estes itens são exemplificativos e devem ser ajustados na proposta de preço da licitante.</t>
  </si>
  <si>
    <t>4.1.1.1. Obs.: Eventuais custos não previstos expressamente na memória de cálculo devem ser cobertos pelo LDI (Lucro e Despesas Indiretas)</t>
  </si>
  <si>
    <t>4.2. Tributação sobre Faturamento:</t>
  </si>
  <si>
    <t>4.2.1. Os tributos (ISS, COFINS, PIS e CPRB) foram definidos utilizando o regime de tributação de Lucro PRESUMIDO. A licitante deve elaborar sua proposta e, por conseguinte, sua planilha com base no regime de tributação ao qual estará submetida durante a execução do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</si>
</sst>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#,##0.00;[Red]\-&quot;R$&quot;#,##0.00"/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&quot;R$&quot;\ #,##0.00"/>
    <numFmt numFmtId="167" formatCode="0.000%"/>
    <numFmt numFmtId="168" formatCode="_(* #,##0.00_);_(* \(#,##0.00\);_(* &quot;-&quot;??_);_(@_)"/>
    <numFmt numFmtId="169" formatCode="0.0000%"/>
    <numFmt numFmtId="170" formatCode="0.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theme="2" tint="-0.24994659260841701"/>
      </left>
      <right style="hair">
        <color theme="2" tint="-0.24994659260841701"/>
      </right>
      <top/>
      <bottom style="hair">
        <color theme="2" tint="-0.24994659260841701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/>
      <diagonal/>
    </border>
    <border>
      <left style="hair">
        <color theme="2" tint="-0.24994659260841701"/>
      </left>
      <right style="hair">
        <color theme="2" tint="-0.24994659260841701"/>
      </right>
      <top/>
      <bottom/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 style="hair">
        <color theme="2" tint="-0.24994659260841701"/>
      </bottom>
      <diagonal/>
    </border>
    <border>
      <left style="hair">
        <color theme="2" tint="-0.24994659260841701"/>
      </left>
      <right/>
      <top style="hair">
        <color theme="2" tint="-0.24994659260841701"/>
      </top>
      <bottom/>
      <diagonal/>
    </border>
    <border>
      <left/>
      <right/>
      <top style="hair">
        <color theme="2" tint="-0.24994659260841701"/>
      </top>
      <bottom/>
      <diagonal/>
    </border>
    <border>
      <left/>
      <right style="hair">
        <color theme="2" tint="-0.24994659260841701"/>
      </right>
      <top style="hair">
        <color theme="2" tint="-0.24994659260841701"/>
      </top>
      <bottom/>
      <diagonal/>
    </border>
    <border>
      <left style="hair">
        <color theme="2" tint="-0.24994659260841701"/>
      </left>
      <right/>
      <top/>
      <bottom/>
      <diagonal/>
    </border>
    <border>
      <left/>
      <right style="hair">
        <color theme="2" tint="-0.24994659260841701"/>
      </right>
      <top/>
      <bottom/>
      <diagonal/>
    </border>
    <border>
      <left style="hair">
        <color theme="2" tint="-0.24994659260841701"/>
      </left>
      <right/>
      <top/>
      <bottom style="hair">
        <color theme="2" tint="-0.24994659260841701"/>
      </bottom>
      <diagonal/>
    </border>
    <border>
      <left/>
      <right/>
      <top/>
      <bottom style="hair">
        <color theme="2" tint="-0.24994659260841701"/>
      </bottom>
      <diagonal/>
    </border>
    <border>
      <left/>
      <right style="hair">
        <color theme="2" tint="-0.24994659260841701"/>
      </right>
      <top/>
      <bottom style="hair">
        <color theme="2" tint="-0.24994659260841701"/>
      </bottom>
      <diagonal/>
    </border>
    <border>
      <left style="hair">
        <color theme="2" tint="-0.24994659260841701"/>
      </left>
      <right/>
      <top style="hair">
        <color theme="2" tint="-0.24994659260841701"/>
      </top>
      <bottom style="hair">
        <color theme="2" tint="-0.24994659260841701"/>
      </bottom>
      <diagonal/>
    </border>
    <border>
      <left/>
      <right style="hair">
        <color theme="2" tint="-0.24994659260841701"/>
      </right>
      <top style="hair">
        <color theme="2" tint="-0.24994659260841701"/>
      </top>
      <bottom style="hair">
        <color theme="2" tint="-0.24994659260841701"/>
      </bottom>
      <diagonal/>
    </border>
    <border>
      <left/>
      <right/>
      <top style="hair">
        <color theme="2" tint="-0.24994659260841701"/>
      </top>
      <bottom style="hair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2">
    <xf numFmtId="0" fontId="0" fillId="0" borderId="0" xfId="0"/>
    <xf numFmtId="166" fontId="4" fillId="2" borderId="1" xfId="2" applyNumberFormat="1" applyFont="1" applyFill="1" applyBorder="1" applyAlignment="1">
      <alignment horizontal="center" vertical="center"/>
    </xf>
    <xf numFmtId="166" fontId="4" fillId="2" borderId="1" xfId="3" applyNumberFormat="1" applyFont="1" applyFill="1" applyBorder="1" applyAlignment="1" applyProtection="1">
      <alignment horizontal="center" vertical="center"/>
    </xf>
    <xf numFmtId="0" fontId="5" fillId="3" borderId="8" xfId="2" applyFont="1" applyFill="1" applyBorder="1" applyAlignment="1">
      <alignment horizontal="left" vertical="center" wrapText="1"/>
    </xf>
    <xf numFmtId="167" fontId="5" fillId="3" borderId="12" xfId="4" applyNumberFormat="1" applyFont="1" applyFill="1" applyBorder="1" applyAlignment="1" applyProtection="1">
      <alignment horizontal="center" vertical="center"/>
    </xf>
    <xf numFmtId="166" fontId="5" fillId="3" borderId="1" xfId="2" applyNumberFormat="1" applyFont="1" applyFill="1" applyBorder="1" applyAlignment="1">
      <alignment horizontal="center" vertical="center"/>
    </xf>
    <xf numFmtId="167" fontId="5" fillId="3" borderId="12" xfId="1" applyNumberFormat="1" applyFont="1" applyFill="1" applyBorder="1" applyAlignment="1" applyProtection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167" fontId="4" fillId="2" borderId="12" xfId="2" applyNumberFormat="1" applyFont="1" applyFill="1" applyBorder="1" applyAlignment="1">
      <alignment horizontal="center" vertical="center"/>
    </xf>
    <xf numFmtId="167" fontId="5" fillId="3" borderId="12" xfId="5" applyNumberFormat="1" applyFont="1" applyFill="1" applyBorder="1" applyAlignment="1" applyProtection="1">
      <alignment horizontal="center" vertical="center"/>
    </xf>
    <xf numFmtId="167" fontId="4" fillId="2" borderId="12" xfId="4" applyNumberFormat="1" applyFont="1" applyFill="1" applyBorder="1" applyAlignment="1" applyProtection="1">
      <alignment horizontal="center" vertical="center"/>
    </xf>
    <xf numFmtId="167" fontId="7" fillId="3" borderId="12" xfId="4" applyNumberFormat="1" applyFont="1" applyFill="1" applyBorder="1" applyAlignment="1" applyProtection="1">
      <alignment horizontal="center" vertical="center"/>
    </xf>
    <xf numFmtId="167" fontId="5" fillId="3" borderId="12" xfId="2" applyNumberFormat="1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justify" vertical="center" wrapText="1"/>
    </xf>
    <xf numFmtId="167" fontId="8" fillId="2" borderId="12" xfId="2" applyNumberFormat="1" applyFont="1" applyFill="1" applyBorder="1" applyAlignment="1">
      <alignment horizontal="center" vertical="center"/>
    </xf>
    <xf numFmtId="0" fontId="5" fillId="3" borderId="8" xfId="2" applyFont="1" applyFill="1" applyBorder="1" applyAlignment="1">
      <alignment vertical="center" wrapText="1"/>
    </xf>
    <xf numFmtId="166" fontId="5" fillId="3" borderId="1" xfId="6" applyNumberFormat="1" applyFont="1" applyFill="1" applyBorder="1" applyAlignment="1" applyProtection="1">
      <alignment horizontal="center" vertical="center"/>
    </xf>
    <xf numFmtId="167" fontId="4" fillId="2" borderId="12" xfId="5" applyNumberFormat="1" applyFont="1" applyFill="1" applyBorder="1" applyAlignment="1" applyProtection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vertical="center" wrapText="1"/>
    </xf>
    <xf numFmtId="0" fontId="4" fillId="3" borderId="11" xfId="2" applyFont="1" applyFill="1" applyBorder="1" applyAlignment="1">
      <alignment vertical="center" wrapText="1"/>
    </xf>
    <xf numFmtId="0" fontId="5" fillId="3" borderId="10" xfId="2" applyFont="1" applyFill="1" applyBorder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0" fillId="3" borderId="0" xfId="0" applyFill="1"/>
    <xf numFmtId="0" fontId="5" fillId="3" borderId="8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166" fontId="4" fillId="2" borderId="1" xfId="6" applyNumberFormat="1" applyFont="1" applyFill="1" applyBorder="1" applyAlignment="1" applyProtection="1">
      <alignment horizontal="center" vertical="center"/>
    </xf>
    <xf numFmtId="0" fontId="5" fillId="3" borderId="8" xfId="2" applyFont="1" applyFill="1" applyBorder="1" applyAlignment="1">
      <alignment horizontal="left" vertical="center"/>
    </xf>
    <xf numFmtId="166" fontId="9" fillId="3" borderId="1" xfId="4" applyNumberFormat="1" applyFont="1" applyFill="1" applyBorder="1" applyAlignment="1" applyProtection="1">
      <alignment horizontal="center" vertical="center"/>
    </xf>
    <xf numFmtId="2" fontId="5" fillId="3" borderId="8" xfId="2" applyNumberFormat="1" applyFont="1" applyFill="1" applyBorder="1" applyAlignment="1">
      <alignment horizontal="left" vertical="center" wrapText="1"/>
    </xf>
    <xf numFmtId="10" fontId="4" fillId="2" borderId="12" xfId="7" applyNumberFormat="1" applyFont="1" applyFill="1" applyBorder="1" applyAlignment="1" applyProtection="1">
      <alignment horizontal="center" vertical="center"/>
    </xf>
    <xf numFmtId="166" fontId="4" fillId="2" borderId="1" xfId="7" applyNumberFormat="1" applyFont="1" applyFill="1" applyBorder="1" applyAlignment="1" applyProtection="1">
      <alignment horizontal="center" vertical="center"/>
    </xf>
    <xf numFmtId="167" fontId="5" fillId="3" borderId="12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left" vertical="center" wrapText="1"/>
    </xf>
    <xf numFmtId="167" fontId="4" fillId="2" borderId="12" xfId="7" applyNumberFormat="1" applyFont="1" applyFill="1" applyBorder="1" applyAlignment="1" applyProtection="1">
      <alignment horizontal="center" vertical="center"/>
    </xf>
    <xf numFmtId="0" fontId="4" fillId="2" borderId="13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center" vertical="center"/>
    </xf>
    <xf numFmtId="166" fontId="4" fillId="2" borderId="19" xfId="2" applyNumberFormat="1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26" xfId="0" applyFont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left" vertical="center"/>
    </xf>
    <xf numFmtId="0" fontId="16" fillId="3" borderId="29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" fillId="3" borderId="8" xfId="2" applyFont="1" applyFill="1" applyBorder="1" applyAlignment="1">
      <alignment horizontal="right" vertical="center" wrapText="1"/>
    </xf>
    <xf numFmtId="0" fontId="5" fillId="3" borderId="9" xfId="2" applyFont="1" applyFill="1" applyBorder="1" applyAlignment="1">
      <alignment horizontal="right" vertical="center" wrapText="1"/>
    </xf>
    <xf numFmtId="167" fontId="5" fillId="8" borderId="12" xfId="4" applyNumberFormat="1" applyFont="1" applyFill="1" applyBorder="1" applyAlignment="1" applyProtection="1">
      <alignment horizontal="center" vertical="center"/>
    </xf>
    <xf numFmtId="9" fontId="0" fillId="0" borderId="0" xfId="1" applyFont="1"/>
    <xf numFmtId="167" fontId="0" fillId="0" borderId="0" xfId="1" applyNumberFormat="1" applyFont="1"/>
    <xf numFmtId="167" fontId="5" fillId="8" borderId="12" xfId="5" applyNumberFormat="1" applyFont="1" applyFill="1" applyBorder="1" applyAlignment="1" applyProtection="1">
      <alignment horizontal="center" vertical="center"/>
    </xf>
    <xf numFmtId="166" fontId="5" fillId="8" borderId="7" xfId="0" applyNumberFormat="1" applyFont="1" applyFill="1" applyBorder="1" applyAlignment="1">
      <alignment horizontal="center" vertical="center"/>
    </xf>
    <xf numFmtId="166" fontId="5" fillId="8" borderId="17" xfId="0" applyNumberFormat="1" applyFont="1" applyFill="1" applyBorder="1" applyAlignment="1">
      <alignment horizontal="center" vertical="center"/>
    </xf>
    <xf numFmtId="167" fontId="5" fillId="8" borderId="12" xfId="2" applyNumberFormat="1" applyFont="1" applyFill="1" applyBorder="1" applyAlignment="1">
      <alignment horizontal="center" vertical="center" wrapText="1"/>
    </xf>
    <xf numFmtId="169" fontId="9" fillId="8" borderId="12" xfId="4" applyNumberFormat="1" applyFont="1" applyFill="1" applyBorder="1" applyAlignment="1" applyProtection="1">
      <alignment horizontal="center" vertical="center"/>
    </xf>
    <xf numFmtId="166" fontId="5" fillId="9" borderId="11" xfId="0" applyNumberFormat="1" applyFont="1" applyFill="1" applyBorder="1" applyAlignment="1">
      <alignment horizontal="center" vertical="center"/>
    </xf>
    <xf numFmtId="170" fontId="17" fillId="0" borderId="0" xfId="1" applyNumberFormat="1" applyFont="1"/>
    <xf numFmtId="0" fontId="5" fillId="3" borderId="9" xfId="0" applyFont="1" applyFill="1" applyBorder="1" applyAlignment="1">
      <alignment vertical="center"/>
    </xf>
    <xf numFmtId="166" fontId="5" fillId="9" borderId="1" xfId="3" applyNumberFormat="1" applyFont="1" applyFill="1" applyBorder="1" applyAlignment="1" applyProtection="1">
      <alignment horizontal="center" vertical="center"/>
      <protection locked="0"/>
    </xf>
    <xf numFmtId="2" fontId="5" fillId="3" borderId="1" xfId="2" applyNumberFormat="1" applyFont="1" applyFill="1" applyBorder="1" applyAlignment="1">
      <alignment horizontal="center" vertical="center"/>
    </xf>
    <xf numFmtId="0" fontId="0" fillId="0" borderId="41" xfId="0" applyBorder="1"/>
    <xf numFmtId="0" fontId="0" fillId="8" borderId="43" xfId="0" applyFill="1" applyBorder="1" applyAlignment="1">
      <alignment wrapText="1"/>
    </xf>
    <xf numFmtId="0" fontId="0" fillId="9" borderId="42" xfId="0" applyFill="1" applyBorder="1" applyAlignment="1">
      <alignment wrapText="1"/>
    </xf>
    <xf numFmtId="169" fontId="0" fillId="0" borderId="0" xfId="0" applyNumberFormat="1"/>
    <xf numFmtId="165" fontId="0" fillId="0" borderId="0" xfId="0" applyNumberFormat="1"/>
    <xf numFmtId="8" fontId="18" fillId="7" borderId="23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1" fillId="6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 vertical="center" wrapText="1"/>
    </xf>
    <xf numFmtId="167" fontId="1" fillId="0" borderId="29" xfId="1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18" fillId="7" borderId="24" xfId="0" applyFont="1" applyFill="1" applyBorder="1" applyAlignment="1">
      <alignment horizontal="right" vertical="center" wrapText="1"/>
    </xf>
    <xf numFmtId="0" fontId="18" fillId="7" borderId="25" xfId="0" applyFont="1" applyFill="1" applyBorder="1" applyAlignment="1">
      <alignment horizontal="right" vertical="center" wrapText="1"/>
    </xf>
    <xf numFmtId="0" fontId="18" fillId="7" borderId="22" xfId="0" applyFont="1" applyFill="1" applyBorder="1" applyAlignment="1">
      <alignment horizontal="right" vertical="center" wrapText="1"/>
    </xf>
    <xf numFmtId="0" fontId="18" fillId="7" borderId="23" xfId="0" applyFont="1" applyFill="1" applyBorder="1" applyAlignment="1">
      <alignment horizontal="right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2" fontId="1" fillId="0" borderId="21" xfId="0" applyNumberFormat="1" applyFont="1" applyBorder="1" applyAlignment="1">
      <alignment horizontal="right" vertical="center" wrapText="1"/>
    </xf>
    <xf numFmtId="166" fontId="1" fillId="0" borderId="21" xfId="0" applyNumberFormat="1" applyFont="1" applyBorder="1" applyAlignment="1">
      <alignment horizontal="right" vertical="center" wrapText="1"/>
    </xf>
    <xf numFmtId="2" fontId="1" fillId="0" borderId="23" xfId="0" applyNumberFormat="1" applyFont="1" applyBorder="1" applyAlignment="1">
      <alignment horizontal="right" vertical="center" wrapText="1"/>
    </xf>
    <xf numFmtId="2" fontId="1" fillId="0" borderId="23" xfId="0" quotePrefix="1" applyNumberFormat="1" applyFont="1" applyBorder="1" applyAlignment="1">
      <alignment horizontal="right" vertical="center" wrapText="1"/>
    </xf>
    <xf numFmtId="166" fontId="1" fillId="0" borderId="22" xfId="0" applyNumberFormat="1" applyFont="1" applyBorder="1" applyAlignment="1">
      <alignment horizontal="right" vertical="center" wrapText="1"/>
    </xf>
    <xf numFmtId="166" fontId="1" fillId="0" borderId="23" xfId="0" applyNumberFormat="1" applyFont="1" applyBorder="1" applyAlignment="1">
      <alignment horizontal="right" vertical="center" wrapText="1"/>
    </xf>
    <xf numFmtId="166" fontId="1" fillId="0" borderId="23" xfId="0" quotePrefix="1" applyNumberFormat="1" applyFont="1" applyBorder="1" applyAlignment="1">
      <alignment horizontal="right" vertical="center" wrapText="1"/>
    </xf>
    <xf numFmtId="0" fontId="4" fillId="5" borderId="8" xfId="2" applyFont="1" applyFill="1" applyBorder="1" applyAlignment="1">
      <alignment horizontal="left" vertical="center"/>
    </xf>
    <xf numFmtId="0" fontId="4" fillId="5" borderId="10" xfId="2" applyFont="1" applyFill="1" applyBorder="1" applyAlignment="1">
      <alignment horizontal="left" vertical="center"/>
    </xf>
    <xf numFmtId="0" fontId="4" fillId="5" borderId="11" xfId="2" applyFont="1" applyFill="1" applyBorder="1" applyAlignment="1">
      <alignment horizontal="left" vertical="center"/>
    </xf>
    <xf numFmtId="0" fontId="6" fillId="4" borderId="2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49" fontId="4" fillId="5" borderId="5" xfId="2" applyNumberFormat="1" applyFont="1" applyFill="1" applyBorder="1" applyAlignment="1">
      <alignment horizontal="left" vertical="center"/>
    </xf>
    <xf numFmtId="49" fontId="4" fillId="5" borderId="6" xfId="2" applyNumberFormat="1" applyFont="1" applyFill="1" applyBorder="1" applyAlignment="1">
      <alignment horizontal="left" vertical="center"/>
    </xf>
    <xf numFmtId="49" fontId="4" fillId="5" borderId="7" xfId="2" applyNumberFormat="1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left" vertical="center" wrapText="1"/>
    </xf>
    <xf numFmtId="0" fontId="4" fillId="5" borderId="10" xfId="2" applyFont="1" applyFill="1" applyBorder="1" applyAlignment="1">
      <alignment horizontal="left" vertical="center" wrapText="1"/>
    </xf>
    <xf numFmtId="0" fontId="4" fillId="5" borderId="11" xfId="2" applyFont="1" applyFill="1" applyBorder="1" applyAlignment="1">
      <alignment horizontal="left" vertical="center" wrapText="1"/>
    </xf>
    <xf numFmtId="0" fontId="4" fillId="3" borderId="8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right" vertical="center" wrapText="1"/>
    </xf>
    <xf numFmtId="0" fontId="5" fillId="3" borderId="9" xfId="2" applyFont="1" applyFill="1" applyBorder="1" applyAlignment="1">
      <alignment horizontal="right" vertical="center" wrapText="1"/>
    </xf>
    <xf numFmtId="0" fontId="4" fillId="5" borderId="13" xfId="2" applyFont="1" applyFill="1" applyBorder="1" applyAlignment="1">
      <alignment horizontal="left" vertical="center" wrapText="1"/>
    </xf>
    <xf numFmtId="0" fontId="4" fillId="5" borderId="14" xfId="2" applyFont="1" applyFill="1" applyBorder="1" applyAlignment="1">
      <alignment horizontal="left" vertical="center" wrapText="1"/>
    </xf>
    <xf numFmtId="0" fontId="4" fillId="5" borderId="15" xfId="2" applyFont="1" applyFill="1" applyBorder="1" applyAlignment="1">
      <alignment horizontal="left" vertical="center" wrapText="1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49" fontId="4" fillId="5" borderId="8" xfId="2" applyNumberFormat="1" applyFont="1" applyFill="1" applyBorder="1" applyAlignment="1">
      <alignment horizontal="left" vertical="center"/>
    </xf>
    <xf numFmtId="49" fontId="4" fillId="5" borderId="10" xfId="2" applyNumberFormat="1" applyFont="1" applyFill="1" applyBorder="1" applyAlignment="1">
      <alignment horizontal="left" vertical="center"/>
    </xf>
    <xf numFmtId="49" fontId="4" fillId="5" borderId="11" xfId="2" applyNumberFormat="1" applyFont="1" applyFill="1" applyBorder="1" applyAlignment="1">
      <alignment horizontal="left" vertical="center"/>
    </xf>
    <xf numFmtId="0" fontId="6" fillId="4" borderId="24" xfId="2" applyFont="1" applyFill="1" applyBorder="1" applyAlignment="1">
      <alignment horizontal="center" vertical="center" wrapText="1"/>
    </xf>
    <xf numFmtId="0" fontId="6" fillId="4" borderId="25" xfId="2" applyFont="1" applyFill="1" applyBorder="1" applyAlignment="1">
      <alignment horizontal="center" vertical="center" wrapText="1"/>
    </xf>
    <xf numFmtId="0" fontId="6" fillId="4" borderId="22" xfId="2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4" fillId="0" borderId="29" xfId="0" applyFont="1" applyBorder="1" applyAlignment="1">
      <alignment vertical="center"/>
    </xf>
    <xf numFmtId="0" fontId="1" fillId="0" borderId="29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</cellXfs>
  <cellStyles count="8">
    <cellStyle name="Normal" xfId="0" builtinId="0"/>
    <cellStyle name="Normal 2 2" xfId="2" xr:uid="{3BFAE196-D15D-4CB9-8F91-89BE45D70A2D}"/>
    <cellStyle name="Porcentagem" xfId="1" builtinId="5"/>
    <cellStyle name="Porcentagem 10 2" xfId="4" xr:uid="{639C8642-F134-452B-8DA6-0330C585D215}"/>
    <cellStyle name="Porcentagem 13" xfId="5" xr:uid="{38D6E946-3E37-47F5-B875-99CE6670E3E3}"/>
    <cellStyle name="Porcentagem 6 2" xfId="7" xr:uid="{1A5817A0-18C2-42DE-BF21-B939C4CA853D}"/>
    <cellStyle name="Vírgula 2 2" xfId="6" xr:uid="{5CFB852E-8D83-4BEE-8DD3-8E72A17A0FC8}"/>
    <cellStyle name="Vírgula 4" xfId="3" xr:uid="{B7A049FC-7CBC-4549-9ED0-3ABF28BC42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4D84-4AE7-47C8-9905-45E3C7595B17}">
  <dimension ref="A1:J21"/>
  <sheetViews>
    <sheetView showGridLines="0" topLeftCell="A9" zoomScale="125" zoomScaleNormal="125" workbookViewId="0">
      <selection activeCell="E2" sqref="E2"/>
    </sheetView>
  </sheetViews>
  <sheetFormatPr defaultColWidth="8.85546875" defaultRowHeight="15" x14ac:dyDescent="0.25"/>
  <cols>
    <col min="1" max="1" width="21.140625" customWidth="1"/>
    <col min="3" max="3" width="18.140625" customWidth="1"/>
    <col min="4" max="4" width="21.28515625" customWidth="1"/>
    <col min="5" max="5" width="20" customWidth="1"/>
    <col min="6" max="7" width="21.28515625" customWidth="1"/>
    <col min="8" max="8" width="39.28515625" customWidth="1"/>
  </cols>
  <sheetData>
    <row r="1" spans="1:8" ht="47.25" x14ac:dyDescent="0.25">
      <c r="A1" s="71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</row>
    <row r="2" spans="1:8" ht="79.5" customHeight="1" x14ac:dyDescent="0.25">
      <c r="A2" s="72" t="s">
        <v>8</v>
      </c>
      <c r="B2" s="73">
        <f>'Analista de UX (Experiência do '!C84</f>
        <v>5</v>
      </c>
      <c r="C2" s="90">
        <f>'Analista de UX (Experiência do '!D5</f>
        <v>13194.07</v>
      </c>
      <c r="D2" s="85">
        <f>'Analista de UX (Experiência do '!D82</f>
        <v>1.980641303252143</v>
      </c>
      <c r="E2" s="90">
        <f>'Analista de UX (Experiência do '!D81</f>
        <v>26132.720000000001</v>
      </c>
      <c r="F2" s="91">
        <f>E2*12</f>
        <v>313592.64</v>
      </c>
      <c r="G2" s="91">
        <f>E2*B2</f>
        <v>130663.6</v>
      </c>
      <c r="H2" s="91">
        <f t="shared" ref="H2:H14" si="0">F2*B2</f>
        <v>1567963.2000000002</v>
      </c>
    </row>
    <row r="3" spans="1:8" ht="79.5" customHeight="1" x14ac:dyDescent="0.25">
      <c r="A3" s="72" t="s">
        <v>9</v>
      </c>
      <c r="B3" s="74">
        <f>'Analista de Requisitos'!C84</f>
        <v>5</v>
      </c>
      <c r="C3" s="91">
        <f>'Analista de Requisitos'!D5</f>
        <v>11113.4</v>
      </c>
      <c r="D3" s="88">
        <f>'Analista de Requisitos'!D82</f>
        <v>1.9903269926395162</v>
      </c>
      <c r="E3" s="91">
        <f>'Analista de Requisitos'!D81</f>
        <v>22119.3</v>
      </c>
      <c r="F3" s="91">
        <f>E3*12</f>
        <v>265431.59999999998</v>
      </c>
      <c r="G3" s="91">
        <f t="shared" ref="G3:G14" si="1">E3*B3</f>
        <v>110596.5</v>
      </c>
      <c r="H3" s="91">
        <f t="shared" si="0"/>
        <v>1327158</v>
      </c>
    </row>
    <row r="4" spans="1:8" ht="79.5" customHeight="1" x14ac:dyDescent="0.25">
      <c r="A4" s="72" t="s">
        <v>10</v>
      </c>
      <c r="B4" s="74">
        <f>'Analista_Desenvolvedor – Plataf'!C84</f>
        <v>20</v>
      </c>
      <c r="C4" s="91">
        <f>'Analista_Desenvolvedor – Plataf'!D5</f>
        <v>16299.92</v>
      </c>
      <c r="D4" s="88">
        <f>'Analista_Desenvolvedor – Plataf'!D82</f>
        <v>1.9561365945354332</v>
      </c>
      <c r="E4" s="91">
        <f>'Analista_Desenvolvedor – Plataf'!D81</f>
        <v>31884.87</v>
      </c>
      <c r="F4" s="91">
        <f t="shared" ref="F4:F8" si="2">E4*12</f>
        <v>382618.44</v>
      </c>
      <c r="G4" s="91">
        <f t="shared" si="1"/>
        <v>637697.4</v>
      </c>
      <c r="H4" s="91">
        <f t="shared" si="0"/>
        <v>7652368.7999999998</v>
      </c>
    </row>
    <row r="5" spans="1:8" ht="79.5" customHeight="1" x14ac:dyDescent="0.25">
      <c r="A5" s="72" t="s">
        <v>11</v>
      </c>
      <c r="B5" s="74">
        <f>DevSecOps!C84</f>
        <v>2</v>
      </c>
      <c r="C5" s="91">
        <f>DevSecOps!D5</f>
        <v>10210.44</v>
      </c>
      <c r="D5" s="88">
        <f>DevSecOps!D82</f>
        <v>2.0182215457903872</v>
      </c>
      <c r="E5" s="91">
        <f>DevSecOps!D81</f>
        <v>20606.93</v>
      </c>
      <c r="F5" s="91">
        <f t="shared" si="2"/>
        <v>247283.16</v>
      </c>
      <c r="G5" s="91">
        <f t="shared" si="1"/>
        <v>41213.86</v>
      </c>
      <c r="H5" s="91">
        <f t="shared" si="0"/>
        <v>494566.32</v>
      </c>
    </row>
    <row r="6" spans="1:8" ht="79.5" customHeight="1" x14ac:dyDescent="0.25">
      <c r="A6" s="72" t="s">
        <v>12</v>
      </c>
      <c r="B6" s="74">
        <f>'administrador de banco de dados'!C84</f>
        <v>2</v>
      </c>
      <c r="C6" s="91">
        <f>'administrador de banco de dados'!D5</f>
        <v>16416.39</v>
      </c>
      <c r="D6" s="88">
        <f>'administrador de banco de dados'!D82</f>
        <v>1.9533801280305843</v>
      </c>
      <c r="E6" s="91">
        <f>'administrador de banco de dados'!D81</f>
        <v>32067.45</v>
      </c>
      <c r="F6" s="91">
        <f>E6*12</f>
        <v>384809.4</v>
      </c>
      <c r="G6" s="91">
        <f t="shared" si="1"/>
        <v>64134.9</v>
      </c>
      <c r="H6" s="91">
        <f t="shared" si="0"/>
        <v>769618.8</v>
      </c>
    </row>
    <row r="7" spans="1:8" ht="79.5" customHeight="1" x14ac:dyDescent="0.25">
      <c r="A7" s="72" t="s">
        <v>13</v>
      </c>
      <c r="B7" s="86">
        <f>'Gerente de Projetos'!C84</f>
        <v>2</v>
      </c>
      <c r="C7" s="91">
        <f>'Gerente de Projetos'!D5</f>
        <v>18311.86</v>
      </c>
      <c r="D7" s="88">
        <f>'Gerente de Projetos'!D82</f>
        <v>1.9426808636588526</v>
      </c>
      <c r="E7" s="91">
        <f>'Gerente de Projetos'!D81</f>
        <v>35574.1</v>
      </c>
      <c r="F7" s="91">
        <f t="shared" si="2"/>
        <v>426889.19999999995</v>
      </c>
      <c r="G7" s="91">
        <f t="shared" si="1"/>
        <v>71148.2</v>
      </c>
      <c r="H7" s="91">
        <f t="shared" si="0"/>
        <v>853778.39999999991</v>
      </c>
    </row>
    <row r="8" spans="1:8" ht="79.5" customHeight="1" x14ac:dyDescent="0.25">
      <c r="A8" s="72" t="s">
        <v>14</v>
      </c>
      <c r="B8" s="86">
        <f>'Scrum Master '!C84</f>
        <v>2</v>
      </c>
      <c r="C8" s="92">
        <f>'Scrum Master '!D5</f>
        <v>13891.75</v>
      </c>
      <c r="D8" s="89">
        <f>'Scrum Master '!D82</f>
        <v>1.9741825184012092</v>
      </c>
      <c r="E8" s="92">
        <f>'Scrum Master '!D81</f>
        <v>27424.85</v>
      </c>
      <c r="F8" s="91">
        <f t="shared" si="2"/>
        <v>329098.19999999995</v>
      </c>
      <c r="G8" s="91">
        <f t="shared" si="1"/>
        <v>54849.7</v>
      </c>
      <c r="H8" s="91">
        <f t="shared" si="0"/>
        <v>658196.39999999991</v>
      </c>
    </row>
    <row r="9" spans="1:8" ht="79.5" customHeight="1" x14ac:dyDescent="0.25">
      <c r="A9" s="72" t="s">
        <v>15</v>
      </c>
      <c r="B9" s="74">
        <f>'Analista de Ambiente de QA'!C84</f>
        <v>5</v>
      </c>
      <c r="C9" s="87">
        <f>'Analista de Ambiente de QA'!D5</f>
        <v>12628.87</v>
      </c>
      <c r="D9" s="86">
        <f>'Analista de Ambiente de QA'!D82</f>
        <v>1.9863970410654317</v>
      </c>
      <c r="E9" s="87">
        <f>'Analista de Ambiente de QA'!D81</f>
        <v>25085.95</v>
      </c>
      <c r="F9" s="91">
        <f>E9*12</f>
        <v>301031.40000000002</v>
      </c>
      <c r="G9" s="91">
        <f t="shared" si="1"/>
        <v>125429.75</v>
      </c>
      <c r="H9" s="91">
        <f t="shared" si="0"/>
        <v>1505157</v>
      </c>
    </row>
    <row r="10" spans="1:8" ht="79.5" customHeight="1" x14ac:dyDescent="0.25">
      <c r="A10" s="72" t="s">
        <v>16</v>
      </c>
      <c r="B10" s="74">
        <f>'Arquiteto de Software '!C84</f>
        <v>2</v>
      </c>
      <c r="C10" s="87">
        <f>'Arquiteto de Software '!D5</f>
        <v>18560.080000000002</v>
      </c>
      <c r="D10" s="86">
        <f>'Arquiteto de Software '!D82</f>
        <v>1.9434598342248521</v>
      </c>
      <c r="E10" s="87">
        <f>'Arquiteto de Software '!D81</f>
        <v>36070.769999999997</v>
      </c>
      <c r="F10" s="91">
        <f t="shared" ref="F10:F11" si="3">E10*12</f>
        <v>432849.24</v>
      </c>
      <c r="G10" s="91">
        <f t="shared" si="1"/>
        <v>72141.539999999994</v>
      </c>
      <c r="H10" s="91">
        <f t="shared" si="0"/>
        <v>865698.48</v>
      </c>
    </row>
    <row r="11" spans="1:8" ht="79.5" customHeight="1" x14ac:dyDescent="0.25">
      <c r="A11" s="72" t="s">
        <v>17</v>
      </c>
      <c r="B11" s="74">
        <f>Inovação_Experimentação!C84</f>
        <v>1</v>
      </c>
      <c r="C11" s="87">
        <f>Inovação_Experimentação!D5</f>
        <v>12628.87</v>
      </c>
      <c r="D11" s="86">
        <f>Inovação_Experimentação!D82</f>
        <v>1.9863970410654317</v>
      </c>
      <c r="E11" s="87">
        <f>Inovação_Experimentação!D81</f>
        <v>25085.95</v>
      </c>
      <c r="F11" s="91">
        <f t="shared" si="3"/>
        <v>301031.40000000002</v>
      </c>
      <c r="G11" s="91">
        <f t="shared" si="1"/>
        <v>25085.95</v>
      </c>
      <c r="H11" s="91">
        <f t="shared" si="0"/>
        <v>301031.40000000002</v>
      </c>
    </row>
    <row r="12" spans="1:8" ht="79.5" customHeight="1" x14ac:dyDescent="0.25">
      <c r="A12" s="72" t="s">
        <v>18</v>
      </c>
      <c r="B12" s="74">
        <f>'Plataforma IA_Cognitivo'!C84</f>
        <v>1</v>
      </c>
      <c r="C12" s="87">
        <f>'Plataforma IA_Cognitivo'!D5</f>
        <v>14746.14</v>
      </c>
      <c r="D12" s="86">
        <f>'Plataforma IA_Cognitivo'!D82</f>
        <v>1.9671052899267198</v>
      </c>
      <c r="E12" s="87">
        <f>'Plataforma IA_Cognitivo'!D81</f>
        <v>29007.21</v>
      </c>
      <c r="F12" s="91">
        <f>E12*12</f>
        <v>348086.52</v>
      </c>
      <c r="G12" s="91">
        <f t="shared" si="1"/>
        <v>29007.21</v>
      </c>
      <c r="H12" s="91">
        <f t="shared" si="0"/>
        <v>348086.52</v>
      </c>
    </row>
    <row r="13" spans="1:8" ht="79.5" customHeight="1" x14ac:dyDescent="0.25">
      <c r="A13" s="72" t="s">
        <v>19</v>
      </c>
      <c r="B13" s="74">
        <f>'BPM e RPA '!C84</f>
        <v>2</v>
      </c>
      <c r="C13" s="87">
        <f>'BPM e RPA '!D5</f>
        <v>22100.52</v>
      </c>
      <c r="D13" s="86">
        <f>'BPM e RPA '!D82</f>
        <v>1.9288138921618134</v>
      </c>
      <c r="E13" s="87">
        <f>'BPM e RPA '!D81</f>
        <v>42627.79</v>
      </c>
      <c r="F13" s="91">
        <f t="shared" ref="F13:F14" si="4">E13*12</f>
        <v>511533.48</v>
      </c>
      <c r="G13" s="91">
        <f t="shared" si="1"/>
        <v>85255.58</v>
      </c>
      <c r="H13" s="91">
        <f t="shared" si="0"/>
        <v>1023066.96</v>
      </c>
    </row>
    <row r="14" spans="1:8" ht="79.5" customHeight="1" x14ac:dyDescent="0.25">
      <c r="A14" s="72" t="s">
        <v>20</v>
      </c>
      <c r="B14" s="74">
        <f>'Plataformas-Ambientes, SOA - AP'!C84</f>
        <v>1</v>
      </c>
      <c r="C14" s="87">
        <f>'Plataformas-Ambientes, SOA - AP'!D5</f>
        <v>15112.53</v>
      </c>
      <c r="D14" s="86">
        <f>'Plataformas-Ambientes, SOA - AP'!D82</f>
        <v>1.9643163652942293</v>
      </c>
      <c r="E14" s="87">
        <f>'Plataformas-Ambientes, SOA - AP'!D81</f>
        <v>29685.79</v>
      </c>
      <c r="F14" s="91">
        <f t="shared" si="4"/>
        <v>356229.48</v>
      </c>
      <c r="G14" s="91">
        <f t="shared" si="1"/>
        <v>29685.79</v>
      </c>
      <c r="H14" s="91">
        <f t="shared" si="0"/>
        <v>356229.48</v>
      </c>
    </row>
    <row r="15" spans="1:8" ht="18.75" x14ac:dyDescent="0.25">
      <c r="A15" s="81" t="s">
        <v>21</v>
      </c>
      <c r="B15" s="82"/>
      <c r="C15" s="82"/>
      <c r="D15" s="84"/>
      <c r="E15" s="82"/>
      <c r="F15" s="83"/>
      <c r="G15" s="69">
        <f>SUM(G2:G14)</f>
        <v>1476909.98</v>
      </c>
      <c r="H15" s="69">
        <f>SUM(H2:H14)</f>
        <v>17722919.760000002</v>
      </c>
    </row>
    <row r="17" spans="1:10" x14ac:dyDescent="0.25">
      <c r="A17" s="43"/>
    </row>
    <row r="18" spans="1:10" x14ac:dyDescent="0.25">
      <c r="H18" s="70"/>
      <c r="J18" s="70"/>
    </row>
    <row r="19" spans="1:10" x14ac:dyDescent="0.25">
      <c r="A19" s="43"/>
    </row>
    <row r="21" spans="1:10" x14ac:dyDescent="0.25">
      <c r="A21" s="4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1DE7-E132-4BCE-9E96-F2AF4C446787}">
  <dimension ref="A1:G106"/>
  <sheetViews>
    <sheetView showGridLines="0" topLeftCell="A52" zoomScale="150" zoomScaleNormal="150" workbookViewId="0">
      <selection activeCell="D60" sqref="D60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" bestFit="1" customWidth="1"/>
    <col min="5" max="5" width="2.42578125" style="52" customWidth="1"/>
    <col min="6" max="6" width="117.42578125" bestFit="1" customWidth="1"/>
  </cols>
  <sheetData>
    <row r="1" spans="1:6" x14ac:dyDescent="0.25">
      <c r="A1" s="52"/>
      <c r="C1" s="52"/>
      <c r="F1" s="64" t="s">
        <v>97</v>
      </c>
    </row>
    <row r="2" spans="1:6" ht="45" x14ac:dyDescent="0.25">
      <c r="B2" s="128" t="s">
        <v>105</v>
      </c>
      <c r="C2" s="129"/>
      <c r="D2" s="130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18560.080000000002</v>
      </c>
    </row>
    <row r="5" spans="1:6" x14ac:dyDescent="0.25">
      <c r="B5" s="104" t="s">
        <v>28</v>
      </c>
      <c r="C5" s="105"/>
      <c r="D5" s="2">
        <f>D4</f>
        <v>18560.080000000002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1484.8064000000002</v>
      </c>
    </row>
    <row r="12" spans="1:6" x14ac:dyDescent="0.25">
      <c r="B12" s="3" t="s">
        <v>34</v>
      </c>
      <c r="C12" s="4">
        <v>1.4999999999999999E-2</v>
      </c>
      <c r="D12" s="5">
        <f>(D5)*C12</f>
        <v>278.40120000000002</v>
      </c>
    </row>
    <row r="13" spans="1:6" ht="15" customHeight="1" x14ac:dyDescent="0.25">
      <c r="B13" s="3" t="s">
        <v>35</v>
      </c>
      <c r="C13" s="4">
        <v>0.01</v>
      </c>
      <c r="D13" s="5">
        <f>(D5)*C13</f>
        <v>185.60080000000002</v>
      </c>
    </row>
    <row r="14" spans="1:6" x14ac:dyDescent="0.25">
      <c r="B14" s="3" t="s">
        <v>36</v>
      </c>
      <c r="C14" s="4">
        <v>2E-3</v>
      </c>
      <c r="D14" s="5">
        <f>(D5)*C14</f>
        <v>37.120160000000006</v>
      </c>
    </row>
    <row r="15" spans="1:6" x14ac:dyDescent="0.25">
      <c r="B15" s="3" t="s">
        <v>37</v>
      </c>
      <c r="C15" s="4">
        <v>6.0000000000000001E-3</v>
      </c>
      <c r="D15" s="5">
        <f>(D5)*C15</f>
        <v>111.36048000000001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464.00200000000007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185.60080000000002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2746.8918400000002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1546.6114664000002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1546.6114664000002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360.80795520000004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41.20337760000001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9.465640800000001</v>
      </c>
    </row>
    <row r="26" spans="2:6" x14ac:dyDescent="0.25">
      <c r="B26" s="3" t="s">
        <v>47</v>
      </c>
      <c r="C26" s="54">
        <v>4.15E-3</v>
      </c>
      <c r="D26" s="5">
        <f>(D5)*C26</f>
        <v>77.024332000000001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7.2384312000000008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3.7120160000000006</v>
      </c>
      <c r="E28" s="53"/>
    </row>
    <row r="29" spans="2:6" x14ac:dyDescent="0.25">
      <c r="B29" s="7" t="s">
        <v>50</v>
      </c>
      <c r="C29" s="10">
        <f>SUM(C21:C28)</f>
        <v>0.19356999999999999</v>
      </c>
      <c r="D29" s="1">
        <f>SUM(D21:D28)</f>
        <v>3592.6746856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77.395533600000007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53.081828800000011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593.92256000000009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515.59902240000008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2.4128104000000001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1242.4117552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2.8649999999999998E-2</v>
      </c>
      <c r="D40" s="5">
        <f>D5*C40</f>
        <v>531.74629200000004</v>
      </c>
      <c r="E40" s="53"/>
    </row>
    <row r="41" spans="2:5" x14ac:dyDescent="0.25">
      <c r="B41" s="7" t="s">
        <v>60</v>
      </c>
      <c r="C41" s="8">
        <f>SUM(C40)</f>
        <v>2.8649999999999998E-2</v>
      </c>
      <c r="D41" s="1">
        <f>SUM(D40)</f>
        <v>531.74629200000004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6.1248264000000008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0.74240320000000015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41.20337760000001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48.070607200000012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18.374479200000003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18.374479200000003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0.44074000000000002</v>
      </c>
      <c r="D53" s="1">
        <f>D51+D47+D41+D37+D29+D18</f>
        <v>8180.1696592000008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26740.249659200002</v>
      </c>
      <c r="E55" s="53"/>
    </row>
    <row r="56" spans="1:7" x14ac:dyDescent="0.25">
      <c r="B56" s="15"/>
      <c r="C56" s="21"/>
      <c r="D56" s="22"/>
      <c r="E56" s="53"/>
    </row>
    <row r="57" spans="1:7" x14ac:dyDescent="0.25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f>400*(1-50%)</f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f>'Analista de UX (Experiência do '!D62</f>
        <v>135</v>
      </c>
    </row>
    <row r="63" spans="1:7" x14ac:dyDescent="0.25">
      <c r="B63" s="25" t="s">
        <v>77</v>
      </c>
      <c r="C63" s="26"/>
      <c r="D63" s="56">
        <f>'Analista de UX (Experiência do '!D63</f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28060.249659200002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f>'Analista de Requisitos'!C70</f>
        <v>0.05</v>
      </c>
      <c r="D70" s="32">
        <f>C70*D67</f>
        <v>1403.0124829600002</v>
      </c>
    </row>
    <row r="71" spans="2:6" x14ac:dyDescent="0.25">
      <c r="B71" s="33" t="s">
        <v>84</v>
      </c>
      <c r="C71" s="58">
        <f>'Analista de Requisitos'!C71</f>
        <v>0.1</v>
      </c>
      <c r="D71" s="32">
        <f>C71*(D67+D70)</f>
        <v>2946.3262142160002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4349.3386971760001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721.41543364220377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1082.1231504633056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234.46001593371619</v>
      </c>
    </row>
    <row r="78" spans="2:6" x14ac:dyDescent="0.25">
      <c r="B78" s="3" t="s">
        <v>91</v>
      </c>
      <c r="C78" s="58">
        <f>'Analista de Requisitos'!C78</f>
        <v>4.4999999999999998E-2</v>
      </c>
      <c r="D78" s="5">
        <f>(D67+D72)/(1-C79)*C78</f>
        <v>1623.1847256949584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3661.18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36070.769999999997</v>
      </c>
      <c r="E81" s="60"/>
    </row>
    <row r="82" spans="1:6" x14ac:dyDescent="0.25">
      <c r="B82" s="49"/>
      <c r="C82" s="50" t="s">
        <v>94</v>
      </c>
      <c r="D82" s="63">
        <f>D81/D4</f>
        <v>1.9434598342248521</v>
      </c>
      <c r="E82" s="60"/>
    </row>
    <row r="83" spans="1:6" x14ac:dyDescent="0.25">
      <c r="B83" s="118" t="s">
        <v>95</v>
      </c>
      <c r="C83" s="119"/>
      <c r="D83" s="5">
        <f>ROUND(D81*12,2)</f>
        <v>432849.24</v>
      </c>
      <c r="E83" s="53"/>
      <c r="F83" s="52"/>
    </row>
    <row r="84" spans="1:6" ht="22.5" x14ac:dyDescent="0.25">
      <c r="B84" s="39" t="s">
        <v>96</v>
      </c>
      <c r="C84" s="40">
        <v>2</v>
      </c>
      <c r="D84" s="41">
        <f>D83*C84</f>
        <v>865698.48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7:D7"/>
    <mergeCell ref="B2:D2"/>
    <mergeCell ref="B3:D3"/>
    <mergeCell ref="B4:C4"/>
    <mergeCell ref="B5:C5"/>
    <mergeCell ref="B6:D6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7FBB-5671-4765-9C32-A83A24E4D08F}">
  <dimension ref="A1:G106"/>
  <sheetViews>
    <sheetView showGridLines="0" topLeftCell="A50" zoomScale="150" zoomScaleNormal="150" workbookViewId="0">
      <selection activeCell="D60" sqref="D60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" bestFit="1" customWidth="1"/>
    <col min="5" max="5" width="2.42578125" style="52" customWidth="1"/>
    <col min="6" max="6" width="117.42578125" bestFit="1" customWidth="1"/>
  </cols>
  <sheetData>
    <row r="1" spans="1:6" x14ac:dyDescent="0.25">
      <c r="A1" s="52"/>
      <c r="C1" s="52"/>
      <c r="F1" s="64" t="s">
        <v>97</v>
      </c>
    </row>
    <row r="2" spans="1:6" ht="45" x14ac:dyDescent="0.25">
      <c r="B2" s="128" t="s">
        <v>104</v>
      </c>
      <c r="C2" s="129"/>
      <c r="D2" s="130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12628.87</v>
      </c>
    </row>
    <row r="5" spans="1:6" x14ac:dyDescent="0.25">
      <c r="B5" s="104" t="s">
        <v>28</v>
      </c>
      <c r="C5" s="105"/>
      <c r="D5" s="2">
        <f>D4</f>
        <v>12628.87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1010.3096</v>
      </c>
    </row>
    <row r="12" spans="1:6" x14ac:dyDescent="0.25">
      <c r="B12" s="3" t="s">
        <v>34</v>
      </c>
      <c r="C12" s="4">
        <v>1.4999999999999999E-2</v>
      </c>
      <c r="D12" s="5">
        <f>(D5)*C12</f>
        <v>189.43305000000001</v>
      </c>
    </row>
    <row r="13" spans="1:6" ht="15" customHeight="1" x14ac:dyDescent="0.25">
      <c r="B13" s="3" t="s">
        <v>35</v>
      </c>
      <c r="C13" s="4">
        <v>0.01</v>
      </c>
      <c r="D13" s="5">
        <f>(D5)*C13</f>
        <v>126.28870000000001</v>
      </c>
    </row>
    <row r="14" spans="1:6" x14ac:dyDescent="0.25">
      <c r="B14" s="3" t="s">
        <v>36</v>
      </c>
      <c r="C14" s="4">
        <v>2E-3</v>
      </c>
      <c r="D14" s="5">
        <f>(D5)*C14</f>
        <v>25.257740000000002</v>
      </c>
    </row>
    <row r="15" spans="1:6" x14ac:dyDescent="0.25">
      <c r="B15" s="3" t="s">
        <v>37</v>
      </c>
      <c r="C15" s="4">
        <v>6.0000000000000001E-3</v>
      </c>
      <c r="D15" s="5">
        <f>(D5)*C15</f>
        <v>75.773220000000009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315.72175000000004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126.28870000000001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1869.0727600000005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1052.3637371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1052.3637371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245.50523280000002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28.036091400000004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6.4407237000000013</v>
      </c>
    </row>
    <row r="26" spans="2:6" x14ac:dyDescent="0.25">
      <c r="B26" s="3" t="s">
        <v>47</v>
      </c>
      <c r="C26" s="54">
        <v>4.15E-3</v>
      </c>
      <c r="D26" s="5">
        <f>(D5)*C26</f>
        <v>52.409810500000006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4.9252593000000005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2.5257740000000002</v>
      </c>
      <c r="E28" s="53"/>
    </row>
    <row r="29" spans="2:6" x14ac:dyDescent="0.25">
      <c r="B29" s="7" t="s">
        <v>50</v>
      </c>
      <c r="C29" s="10">
        <f>SUM(C21:C28)</f>
        <v>0.19356999999999999</v>
      </c>
      <c r="D29" s="1">
        <f>SUM(D21:D28)</f>
        <v>2444.5703659000001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52.662387900000006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36.118568200000006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404.12384000000003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350.83000859999999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1.6417530999999999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845.3765578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2.8649999999999998E-2</v>
      </c>
      <c r="D40" s="5">
        <f>D5*C40</f>
        <v>361.81712549999997</v>
      </c>
      <c r="E40" s="53"/>
    </row>
    <row r="41" spans="2:5" x14ac:dyDescent="0.25">
      <c r="B41" s="7" t="s">
        <v>60</v>
      </c>
      <c r="C41" s="8">
        <f>SUM(C40)</f>
        <v>2.8649999999999998E-2</v>
      </c>
      <c r="D41" s="1">
        <f>SUM(D40)</f>
        <v>361.81712549999997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4.1675271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0.50515480000000013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28.036091400000004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32.708773300000004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12.502581300000001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12.502581300000001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0.44074000000000002</v>
      </c>
      <c r="D53" s="1">
        <f>D51+D47+D41+D37+D29+D18</f>
        <v>5566.0481638000001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18194.918163800001</v>
      </c>
      <c r="E55" s="53"/>
    </row>
    <row r="56" spans="1:7" x14ac:dyDescent="0.25">
      <c r="B56" s="15"/>
      <c r="C56" s="21"/>
      <c r="D56" s="22"/>
      <c r="E56" s="53"/>
    </row>
    <row r="57" spans="1:7" x14ac:dyDescent="0.25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f>400*(1-50%)</f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f>'Analista de UX (Experiência do '!D62</f>
        <v>135</v>
      </c>
    </row>
    <row r="63" spans="1:7" x14ac:dyDescent="0.25">
      <c r="B63" s="25" t="s">
        <v>77</v>
      </c>
      <c r="C63" s="26"/>
      <c r="D63" s="56">
        <f>'Analista de UX (Experiência do '!D63</f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19514.918163800001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f>'Analista de Requisitos'!C70</f>
        <v>0.05</v>
      </c>
      <c r="D70" s="32">
        <f>C70*D67</f>
        <v>975.74590819000014</v>
      </c>
    </row>
    <row r="71" spans="2:6" x14ac:dyDescent="0.25">
      <c r="B71" s="33" t="s">
        <v>84</v>
      </c>
      <c r="C71" s="58">
        <f>'Analista de Requisitos'!C71</f>
        <v>0.1</v>
      </c>
      <c r="D71" s="32">
        <f>C71*(D67+D70)</f>
        <v>2049.0664071990004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3024.8123153890006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501.71909803425717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752.5786470513857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163.05870686113357</v>
      </c>
    </row>
    <row r="78" spans="2:6" x14ac:dyDescent="0.25">
      <c r="B78" s="3" t="s">
        <v>91</v>
      </c>
      <c r="C78" s="58">
        <f>'Analista de Requisitos'!C78</f>
        <v>4.4999999999999998E-2</v>
      </c>
      <c r="D78" s="5">
        <f>(D67+D72)/(1-C79)*C78</f>
        <v>1128.8679705770787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2546.2199999999998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25085.95</v>
      </c>
      <c r="E81" s="60"/>
    </row>
    <row r="82" spans="1:6" x14ac:dyDescent="0.25">
      <c r="B82" s="49"/>
      <c r="C82" s="50" t="s">
        <v>94</v>
      </c>
      <c r="D82" s="63">
        <f>D81/D4</f>
        <v>1.9863970410654317</v>
      </c>
      <c r="E82" s="60"/>
    </row>
    <row r="83" spans="1:6" x14ac:dyDescent="0.25">
      <c r="B83" s="118" t="s">
        <v>95</v>
      </c>
      <c r="C83" s="119"/>
      <c r="D83" s="5">
        <f>ROUND(D81*12,2)</f>
        <v>301031.40000000002</v>
      </c>
      <c r="E83" s="53"/>
      <c r="F83" s="52"/>
    </row>
    <row r="84" spans="1:6" ht="22.5" x14ac:dyDescent="0.25">
      <c r="B84" s="39" t="s">
        <v>96</v>
      </c>
      <c r="C84" s="40">
        <v>1</v>
      </c>
      <c r="D84" s="41">
        <f>D83*C84</f>
        <v>301031.40000000002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7:D7"/>
    <mergeCell ref="B2:D2"/>
    <mergeCell ref="B3:D3"/>
    <mergeCell ref="B4:C4"/>
    <mergeCell ref="B5:C5"/>
    <mergeCell ref="B6:D6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1823-E728-4180-B2BB-6C74EA2D7AE1}">
  <dimension ref="A1:G106"/>
  <sheetViews>
    <sheetView showGridLines="0" topLeftCell="A42" zoomScale="150" zoomScaleNormal="150" workbookViewId="0">
      <selection activeCell="D60" sqref="D60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" bestFit="1" customWidth="1"/>
    <col min="5" max="5" width="2.42578125" style="52" customWidth="1"/>
    <col min="6" max="6" width="117.42578125" bestFit="1" customWidth="1"/>
  </cols>
  <sheetData>
    <row r="1" spans="1:6" x14ac:dyDescent="0.25">
      <c r="A1" s="52"/>
      <c r="C1" s="52"/>
      <c r="F1" s="64" t="s">
        <v>97</v>
      </c>
    </row>
    <row r="2" spans="1:6" ht="45" x14ac:dyDescent="0.25">
      <c r="B2" s="128" t="s">
        <v>106</v>
      </c>
      <c r="C2" s="129"/>
      <c r="D2" s="130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14746.14</v>
      </c>
    </row>
    <row r="5" spans="1:6" x14ac:dyDescent="0.25">
      <c r="B5" s="104" t="s">
        <v>28</v>
      </c>
      <c r="C5" s="105"/>
      <c r="D5" s="2">
        <f>D4</f>
        <v>14746.14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1179.6912</v>
      </c>
    </row>
    <row r="12" spans="1:6" x14ac:dyDescent="0.25">
      <c r="B12" s="3" t="s">
        <v>34</v>
      </c>
      <c r="C12" s="4">
        <v>1.4999999999999999E-2</v>
      </c>
      <c r="D12" s="5">
        <f>(D5)*C12</f>
        <v>221.19209999999998</v>
      </c>
    </row>
    <row r="13" spans="1:6" ht="15" customHeight="1" x14ac:dyDescent="0.25">
      <c r="B13" s="3" t="s">
        <v>35</v>
      </c>
      <c r="C13" s="4">
        <v>0.01</v>
      </c>
      <c r="D13" s="5">
        <f>(D5)*C13</f>
        <v>147.4614</v>
      </c>
    </row>
    <row r="14" spans="1:6" x14ac:dyDescent="0.25">
      <c r="B14" s="3" t="s">
        <v>36</v>
      </c>
      <c r="C14" s="4">
        <v>2E-3</v>
      </c>
      <c r="D14" s="5">
        <f>(D5)*C14</f>
        <v>29.492280000000001</v>
      </c>
    </row>
    <row r="15" spans="1:6" x14ac:dyDescent="0.25">
      <c r="B15" s="3" t="s">
        <v>37</v>
      </c>
      <c r="C15" s="4">
        <v>6.0000000000000001E-3</v>
      </c>
      <c r="D15" s="5">
        <f>(D5)*C15</f>
        <v>88.476839999999996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368.65350000000001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147.4614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2182.4287199999999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1228.7958461999999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1228.7958461999999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286.66496159999997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32.736430800000001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7.5205314000000003</v>
      </c>
    </row>
    <row r="26" spans="2:6" x14ac:dyDescent="0.25">
      <c r="B26" s="3" t="s">
        <v>47</v>
      </c>
      <c r="C26" s="54">
        <v>4.15E-3</v>
      </c>
      <c r="D26" s="5">
        <f>(D5)*C26</f>
        <v>61.196480999999999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5.7509945999999994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2.9492280000000002</v>
      </c>
      <c r="E28" s="53"/>
    </row>
    <row r="29" spans="2:6" x14ac:dyDescent="0.25">
      <c r="B29" s="7" t="s">
        <v>50</v>
      </c>
      <c r="C29" s="10">
        <f>SUM(C21:C28)</f>
        <v>0.19356999999999999</v>
      </c>
      <c r="D29" s="1">
        <f>SUM(D21:D28)</f>
        <v>2854.4103197999998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61.491403800000001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42.173960399999999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471.87648000000002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409.64776919999997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1.9169981999999997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987.10661159999995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2.8649999999999998E-2</v>
      </c>
      <c r="D40" s="5">
        <f>D5*C40</f>
        <v>422.47691099999997</v>
      </c>
      <c r="E40" s="53"/>
    </row>
    <row r="41" spans="2:5" x14ac:dyDescent="0.25">
      <c r="B41" s="7" t="s">
        <v>60</v>
      </c>
      <c r="C41" s="8">
        <f>SUM(C40)</f>
        <v>2.8649999999999998E-2</v>
      </c>
      <c r="D41" s="1">
        <f>SUM(D40)</f>
        <v>422.47691099999997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4.8662261999999998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0.58984559999999997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32.736430800000001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38.192502599999997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14.5986786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14.5986786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0.44074000000000002</v>
      </c>
      <c r="D53" s="1">
        <f>D51+D47+D41+D37+D29+D18</f>
        <v>6499.2137435999994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21245.353743599997</v>
      </c>
      <c r="E55" s="53"/>
    </row>
    <row r="56" spans="1:7" x14ac:dyDescent="0.25">
      <c r="B56" s="15"/>
      <c r="C56" s="21"/>
      <c r="D56" s="22"/>
      <c r="E56" s="53"/>
    </row>
    <row r="57" spans="1:7" x14ac:dyDescent="0.25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f>400*(1-50%)</f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f>'Analista de UX (Experiência do '!D62</f>
        <v>135</v>
      </c>
    </row>
    <row r="63" spans="1:7" x14ac:dyDescent="0.25">
      <c r="B63" s="25" t="s">
        <v>77</v>
      </c>
      <c r="C63" s="26"/>
      <c r="D63" s="56">
        <f>'Analista de UX (Experiência do '!D63</f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22565.353743599997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f>'Analista de Requisitos'!C70</f>
        <v>0.05</v>
      </c>
      <c r="D70" s="32">
        <f>C70*D67</f>
        <v>1128.2676871799999</v>
      </c>
    </row>
    <row r="71" spans="2:6" x14ac:dyDescent="0.25">
      <c r="B71" s="33" t="s">
        <v>84</v>
      </c>
      <c r="C71" s="58">
        <f>'Analista de Requisitos'!C71</f>
        <v>0.1</v>
      </c>
      <c r="D71" s="32">
        <f>C71*(D67+D70)</f>
        <v>2369.3621430779999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3497.6298302579999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580.14431995232053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870.21647992848068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188.54690398450416</v>
      </c>
    </row>
    <row r="78" spans="2:6" x14ac:dyDescent="0.25">
      <c r="B78" s="3" t="s">
        <v>91</v>
      </c>
      <c r="C78" s="58">
        <f>'Analista de Requisitos'!C78</f>
        <v>4.4999999999999998E-2</v>
      </c>
      <c r="D78" s="5">
        <f>(D67+D72)/(1-C79)*C78</f>
        <v>1305.3247198927211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2944.23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29007.21</v>
      </c>
      <c r="E81" s="60"/>
    </row>
    <row r="82" spans="1:6" x14ac:dyDescent="0.25">
      <c r="B82" s="49"/>
      <c r="C82" s="50" t="s">
        <v>94</v>
      </c>
      <c r="D82" s="63">
        <f>D81/D4</f>
        <v>1.9671052899267198</v>
      </c>
      <c r="E82" s="60"/>
    </row>
    <row r="83" spans="1:6" x14ac:dyDescent="0.25">
      <c r="B83" s="118" t="s">
        <v>95</v>
      </c>
      <c r="C83" s="119"/>
      <c r="D83" s="5">
        <f>ROUND(D81*12,2)</f>
        <v>348086.52</v>
      </c>
      <c r="E83" s="53"/>
      <c r="F83" s="52"/>
    </row>
    <row r="84" spans="1:6" ht="22.5" x14ac:dyDescent="0.25">
      <c r="B84" s="39" t="s">
        <v>96</v>
      </c>
      <c r="C84" s="40">
        <v>1</v>
      </c>
      <c r="D84" s="41">
        <f>D83*C84</f>
        <v>348086.52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7:D7"/>
    <mergeCell ref="B2:D2"/>
    <mergeCell ref="B3:D3"/>
    <mergeCell ref="B4:C4"/>
    <mergeCell ref="B5:C5"/>
    <mergeCell ref="B6:D6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94E3-D273-41BA-A553-6252AE90A86B}">
  <dimension ref="A1:G106"/>
  <sheetViews>
    <sheetView showGridLines="0" topLeftCell="A44" zoomScale="150" zoomScaleNormal="150" workbookViewId="0">
      <selection activeCell="D60" sqref="D60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" bestFit="1" customWidth="1"/>
    <col min="5" max="5" width="2.42578125" style="52" customWidth="1"/>
    <col min="6" max="6" width="117.42578125" bestFit="1" customWidth="1"/>
  </cols>
  <sheetData>
    <row r="1" spans="1:6" x14ac:dyDescent="0.25">
      <c r="A1" s="52"/>
      <c r="C1" s="52"/>
      <c r="F1" s="64" t="s">
        <v>97</v>
      </c>
    </row>
    <row r="2" spans="1:6" ht="45" x14ac:dyDescent="0.25">
      <c r="B2" s="128" t="s">
        <v>107</v>
      </c>
      <c r="C2" s="129"/>
      <c r="D2" s="130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22100.52</v>
      </c>
    </row>
    <row r="5" spans="1:6" x14ac:dyDescent="0.25">
      <c r="B5" s="104" t="s">
        <v>28</v>
      </c>
      <c r="C5" s="105"/>
      <c r="D5" s="2">
        <f>D4</f>
        <v>22100.52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1768.0416</v>
      </c>
    </row>
    <row r="12" spans="1:6" x14ac:dyDescent="0.25">
      <c r="B12" s="3" t="s">
        <v>34</v>
      </c>
      <c r="C12" s="4">
        <v>1.4999999999999999E-2</v>
      </c>
      <c r="D12" s="5">
        <f>(D5)*C12</f>
        <v>331.50779999999997</v>
      </c>
    </row>
    <row r="13" spans="1:6" ht="15" customHeight="1" x14ac:dyDescent="0.25">
      <c r="B13" s="3" t="s">
        <v>35</v>
      </c>
      <c r="C13" s="4">
        <v>0.01</v>
      </c>
      <c r="D13" s="5">
        <f>(D5)*C13</f>
        <v>221.0052</v>
      </c>
    </row>
    <row r="14" spans="1:6" x14ac:dyDescent="0.25">
      <c r="B14" s="3" t="s">
        <v>36</v>
      </c>
      <c r="C14" s="4">
        <v>2E-3</v>
      </c>
      <c r="D14" s="5">
        <f>(D5)*C14</f>
        <v>44.201039999999999</v>
      </c>
    </row>
    <row r="15" spans="1:6" x14ac:dyDescent="0.25">
      <c r="B15" s="3" t="s">
        <v>37</v>
      </c>
      <c r="C15" s="4">
        <v>6.0000000000000001E-3</v>
      </c>
      <c r="D15" s="5">
        <f>(D5)*C15</f>
        <v>132.60312000000002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552.51300000000003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221.0052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3270.8769600000001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1841.6363316000002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1841.6363316000002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429.63410879999998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49.063154400000002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11.2712652</v>
      </c>
    </row>
    <row r="26" spans="2:6" x14ac:dyDescent="0.25">
      <c r="B26" s="3" t="s">
        <v>47</v>
      </c>
      <c r="C26" s="54">
        <v>4.15E-3</v>
      </c>
      <c r="D26" s="5">
        <f>(D5)*C26</f>
        <v>91.717157999999998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8.6192028000000001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4.4201040000000003</v>
      </c>
      <c r="E28" s="53"/>
    </row>
    <row r="29" spans="2:6" x14ac:dyDescent="0.25">
      <c r="B29" s="7" t="s">
        <v>50</v>
      </c>
      <c r="C29" s="10">
        <f>SUM(C21:C28)</f>
        <v>0.19356999999999999</v>
      </c>
      <c r="D29" s="1">
        <f>SUM(D21:D28)</f>
        <v>4277.9976563999999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92.159168399999999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63.207487200000003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707.21663999999998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613.95244560000003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2.8730675999999997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1479.4088087999999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2.8649999999999998E-2</v>
      </c>
      <c r="D40" s="5">
        <f>D5*C40</f>
        <v>633.17989799999998</v>
      </c>
      <c r="E40" s="53"/>
    </row>
    <row r="41" spans="2:5" x14ac:dyDescent="0.25">
      <c r="B41" s="7" t="s">
        <v>60</v>
      </c>
      <c r="C41" s="8">
        <f>SUM(C40)</f>
        <v>2.8649999999999998E-2</v>
      </c>
      <c r="D41" s="1">
        <f>SUM(D40)</f>
        <v>633.17989799999998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7.2931716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0.88402080000000005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49.063154400000002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57.240346799999998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21.879514799999999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21.879514799999999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0.44074000000000002</v>
      </c>
      <c r="D53" s="1">
        <f>D51+D47+D41+D37+D29+D18</f>
        <v>9740.5831847999998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31841.103184799998</v>
      </c>
      <c r="E55" s="53"/>
    </row>
    <row r="56" spans="1:7" x14ac:dyDescent="0.25">
      <c r="B56" s="15"/>
      <c r="C56" s="21"/>
      <c r="D56" s="22"/>
      <c r="E56" s="53"/>
    </row>
    <row r="57" spans="1:7" x14ac:dyDescent="0.25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f>400*(1-50%)</f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f>'Analista de UX (Experiência do '!D62</f>
        <v>135</v>
      </c>
    </row>
    <row r="63" spans="1:7" x14ac:dyDescent="0.25">
      <c r="B63" s="25" t="s">
        <v>77</v>
      </c>
      <c r="C63" s="26"/>
      <c r="D63" s="56">
        <f>'Analista de UX (Experiência do '!D63</f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33161.103184799998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f>'Analista de Requisitos'!C70</f>
        <v>0.05</v>
      </c>
      <c r="D70" s="32">
        <f>C70*D67</f>
        <v>1658.05515924</v>
      </c>
    </row>
    <row r="71" spans="2:6" x14ac:dyDescent="0.25">
      <c r="B71" s="33" t="s">
        <v>84</v>
      </c>
      <c r="C71" s="58">
        <f>'Analista de Requisitos'!C71</f>
        <v>0.1</v>
      </c>
      <c r="D71" s="32">
        <f>C71*(D67+D70)</f>
        <v>3481.9158344040002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5139.9709936440004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852.55590825696163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1278.8338623854422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277.0806701835125</v>
      </c>
    </row>
    <row r="78" spans="2:6" x14ac:dyDescent="0.25">
      <c r="B78" s="3" t="s">
        <v>91</v>
      </c>
      <c r="C78" s="58">
        <f>'Analista de Requisitos'!C78</f>
        <v>4.4999999999999998E-2</v>
      </c>
      <c r="D78" s="5">
        <f>(D67+D72)/(1-C79)*C78</f>
        <v>1918.2507935781634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4326.72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42627.79</v>
      </c>
      <c r="E81" s="60"/>
    </row>
    <row r="82" spans="1:6" x14ac:dyDescent="0.25">
      <c r="B82" s="49"/>
      <c r="C82" s="50" t="s">
        <v>94</v>
      </c>
      <c r="D82" s="63">
        <f>D81/D4</f>
        <v>1.9288138921618134</v>
      </c>
      <c r="E82" s="60"/>
    </row>
    <row r="83" spans="1:6" x14ac:dyDescent="0.25">
      <c r="B83" s="118" t="s">
        <v>95</v>
      </c>
      <c r="C83" s="119"/>
      <c r="D83" s="5">
        <f>ROUND(D81*12,2)</f>
        <v>511533.48</v>
      </c>
      <c r="E83" s="53"/>
      <c r="F83" s="52"/>
    </row>
    <row r="84" spans="1:6" ht="22.5" x14ac:dyDescent="0.25">
      <c r="B84" s="39" t="s">
        <v>96</v>
      </c>
      <c r="C84" s="40">
        <v>2</v>
      </c>
      <c r="D84" s="41">
        <f>D83*C84</f>
        <v>1023066.96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7:D7"/>
    <mergeCell ref="B2:D2"/>
    <mergeCell ref="B3:D3"/>
    <mergeCell ref="B4:C4"/>
    <mergeCell ref="B5:C5"/>
    <mergeCell ref="B6:D6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E739-16EA-49F3-84D8-49EA073FBA8B}">
  <dimension ref="A1:G106"/>
  <sheetViews>
    <sheetView showGridLines="0" topLeftCell="A44" zoomScale="150" zoomScaleNormal="150" workbookViewId="0">
      <selection activeCell="D60" sqref="D60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" bestFit="1" customWidth="1"/>
    <col min="5" max="5" width="2.42578125" style="52" customWidth="1"/>
    <col min="6" max="6" width="117.42578125" bestFit="1" customWidth="1"/>
  </cols>
  <sheetData>
    <row r="1" spans="1:6" x14ac:dyDescent="0.25">
      <c r="A1" s="52"/>
      <c r="C1" s="52"/>
      <c r="F1" s="64" t="s">
        <v>97</v>
      </c>
    </row>
    <row r="2" spans="1:6" ht="45" x14ac:dyDescent="0.25">
      <c r="B2" s="128" t="s">
        <v>108</v>
      </c>
      <c r="C2" s="129"/>
      <c r="D2" s="130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15112.53</v>
      </c>
    </row>
    <row r="5" spans="1:6" x14ac:dyDescent="0.25">
      <c r="B5" s="104" t="s">
        <v>28</v>
      </c>
      <c r="C5" s="105"/>
      <c r="D5" s="2">
        <f>D4</f>
        <v>15112.53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1209.0024000000001</v>
      </c>
    </row>
    <row r="12" spans="1:6" x14ac:dyDescent="0.25">
      <c r="B12" s="3" t="s">
        <v>34</v>
      </c>
      <c r="C12" s="4">
        <v>1.4999999999999999E-2</v>
      </c>
      <c r="D12" s="5">
        <f>(D5)*C12</f>
        <v>226.68795</v>
      </c>
    </row>
    <row r="13" spans="1:6" ht="15" customHeight="1" x14ac:dyDescent="0.25">
      <c r="B13" s="3" t="s">
        <v>35</v>
      </c>
      <c r="C13" s="4">
        <v>0.01</v>
      </c>
      <c r="D13" s="5">
        <f>(D5)*C13</f>
        <v>151.12530000000001</v>
      </c>
    </row>
    <row r="14" spans="1:6" x14ac:dyDescent="0.25">
      <c r="B14" s="3" t="s">
        <v>36</v>
      </c>
      <c r="C14" s="4">
        <v>2E-3</v>
      </c>
      <c r="D14" s="5">
        <f>(D5)*C14</f>
        <v>30.225060000000003</v>
      </c>
    </row>
    <row r="15" spans="1:6" x14ac:dyDescent="0.25">
      <c r="B15" s="3" t="s">
        <v>37</v>
      </c>
      <c r="C15" s="4">
        <v>6.0000000000000001E-3</v>
      </c>
      <c r="D15" s="5">
        <f>(D5)*C15</f>
        <v>90.675180000000012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377.81325000000004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151.12530000000001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2236.6544400000002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1259.3271249000002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1259.3271249000002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293.78758319999997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33.549816600000007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7.707390300000001</v>
      </c>
    </row>
    <row r="26" spans="2:6" x14ac:dyDescent="0.25">
      <c r="B26" s="3" t="s">
        <v>47</v>
      </c>
      <c r="C26" s="54">
        <v>4.15E-3</v>
      </c>
      <c r="D26" s="5">
        <f>(D5)*C26</f>
        <v>62.7169995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5.8938867000000004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3.0225060000000004</v>
      </c>
      <c r="E28" s="53"/>
    </row>
    <row r="29" spans="2:6" x14ac:dyDescent="0.25">
      <c r="B29" s="7" t="s">
        <v>50</v>
      </c>
      <c r="C29" s="10">
        <f>SUM(C21:C28)</f>
        <v>0.19356999999999999</v>
      </c>
      <c r="D29" s="1">
        <f>SUM(D21:D28)</f>
        <v>2925.3324321000005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63.019250100000001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43.221835800000001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483.60096000000004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419.82608340000002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1.9646288999999999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1011.6327582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2.8649999999999998E-2</v>
      </c>
      <c r="D40" s="5">
        <f>D5*C40</f>
        <v>432.97398449999997</v>
      </c>
      <c r="E40" s="53"/>
    </row>
    <row r="41" spans="2:5" x14ac:dyDescent="0.25">
      <c r="B41" s="7" t="s">
        <v>60</v>
      </c>
      <c r="C41" s="8">
        <f>SUM(C40)</f>
        <v>2.8649999999999998E-2</v>
      </c>
      <c r="D41" s="1">
        <f>SUM(D40)</f>
        <v>432.97398449999997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4.9871349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0.60450120000000007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33.549816600000007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39.141452700000009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14.961404700000001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14.961404700000001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0.44074000000000002</v>
      </c>
      <c r="D53" s="1">
        <f>D51+D47+D41+D37+D29+D18</f>
        <v>6660.6964722000012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21773.226472200004</v>
      </c>
      <c r="E55" s="53"/>
    </row>
    <row r="56" spans="1:7" x14ac:dyDescent="0.25">
      <c r="B56" s="15"/>
      <c r="C56" s="21"/>
      <c r="D56" s="22"/>
      <c r="E56" s="53"/>
    </row>
    <row r="57" spans="1:7" x14ac:dyDescent="0.25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f>400*(1-50%)</f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f>'Analista de UX (Experiência do '!D62</f>
        <v>135</v>
      </c>
    </row>
    <row r="63" spans="1:7" x14ac:dyDescent="0.25">
      <c r="B63" s="25" t="s">
        <v>77</v>
      </c>
      <c r="C63" s="26"/>
      <c r="D63" s="56">
        <f>'Analista de UX (Experiência do '!D63</f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23093.226472200004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f>'Analista de Requisitos'!C70</f>
        <v>0.05</v>
      </c>
      <c r="D70" s="32">
        <f>C70*D67</f>
        <v>1154.6613236100002</v>
      </c>
    </row>
    <row r="71" spans="2:6" x14ac:dyDescent="0.25">
      <c r="B71" s="33" t="s">
        <v>84</v>
      </c>
      <c r="C71" s="58">
        <f>'Analista de Requisitos'!C71</f>
        <v>0.1</v>
      </c>
      <c r="D71" s="32">
        <f>C71*(D67+D70)</f>
        <v>2424.7887795810007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3579.4501031910008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593.71567224020043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890.57350836030059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192.95759347806512</v>
      </c>
    </row>
    <row r="78" spans="2:6" x14ac:dyDescent="0.25">
      <c r="B78" s="3" t="s">
        <v>91</v>
      </c>
      <c r="C78" s="58">
        <f>'Analista de Requisitos'!C78</f>
        <v>4.4999999999999998E-2</v>
      </c>
      <c r="D78" s="5">
        <f>(D67+D72)/(1-C79)*C78</f>
        <v>1335.860262540451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3013.11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29685.79</v>
      </c>
      <c r="E81" s="60"/>
    </row>
    <row r="82" spans="1:6" x14ac:dyDescent="0.25">
      <c r="B82" s="49"/>
      <c r="C82" s="50" t="s">
        <v>94</v>
      </c>
      <c r="D82" s="63">
        <f>D81/D4</f>
        <v>1.9643163652942293</v>
      </c>
      <c r="E82" s="60"/>
    </row>
    <row r="83" spans="1:6" x14ac:dyDescent="0.25">
      <c r="B83" s="118" t="s">
        <v>95</v>
      </c>
      <c r="C83" s="119"/>
      <c r="D83" s="5">
        <f>ROUND(D81*12,2)</f>
        <v>356229.48</v>
      </c>
      <c r="E83" s="53"/>
      <c r="F83" s="52"/>
    </row>
    <row r="84" spans="1:6" ht="22.5" x14ac:dyDescent="0.25">
      <c r="B84" s="39" t="s">
        <v>96</v>
      </c>
      <c r="C84" s="40">
        <v>1</v>
      </c>
      <c r="D84" s="41">
        <f>D83*C84</f>
        <v>356229.48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7:D7"/>
    <mergeCell ref="B2:D2"/>
    <mergeCell ref="B3:D3"/>
    <mergeCell ref="B4:C4"/>
    <mergeCell ref="B5:C5"/>
    <mergeCell ref="B6:D6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712B-D09B-414A-B871-CDEAA65F9E8C}">
  <sheetPr>
    <pageSetUpPr fitToPage="1"/>
  </sheetPr>
  <dimension ref="B2:H80"/>
  <sheetViews>
    <sheetView showGridLines="0" zoomScale="90" zoomScaleNormal="90" workbookViewId="0">
      <selection activeCell="F79" sqref="F79"/>
    </sheetView>
  </sheetViews>
  <sheetFormatPr defaultColWidth="9.140625" defaultRowHeight="15.75" x14ac:dyDescent="0.25"/>
  <cols>
    <col min="1" max="1" width="9.140625" style="48"/>
    <col min="2" max="2" width="67.42578125" style="48" customWidth="1"/>
    <col min="3" max="3" width="49.42578125" style="48" customWidth="1"/>
    <col min="4" max="4" width="66.42578125" style="48" customWidth="1"/>
    <col min="5" max="7" width="9.140625" style="48"/>
    <col min="8" max="8" width="13" style="48" bestFit="1" customWidth="1"/>
    <col min="9" max="16384" width="9.140625" style="48"/>
  </cols>
  <sheetData>
    <row r="2" spans="2:4" x14ac:dyDescent="0.25">
      <c r="B2" s="134" t="s">
        <v>109</v>
      </c>
      <c r="C2" s="134"/>
      <c r="D2" s="134"/>
    </row>
    <row r="3" spans="2:4" ht="33.75" customHeight="1" x14ac:dyDescent="0.25">
      <c r="B3" s="135" t="s">
        <v>110</v>
      </c>
      <c r="C3" s="135"/>
      <c r="D3" s="135"/>
    </row>
    <row r="4" spans="2:4" ht="5.0999999999999996" customHeight="1" x14ac:dyDescent="0.25">
      <c r="B4" s="136"/>
      <c r="C4" s="136"/>
      <c r="D4" s="136"/>
    </row>
    <row r="5" spans="2:4" x14ac:dyDescent="0.25">
      <c r="B5" s="134" t="s">
        <v>111</v>
      </c>
      <c r="C5" s="134"/>
      <c r="D5" s="134"/>
    </row>
    <row r="6" spans="2:4" ht="5.0999999999999996" customHeight="1" x14ac:dyDescent="0.25">
      <c r="B6" s="137"/>
      <c r="C6" s="137"/>
      <c r="D6" s="137"/>
    </row>
    <row r="7" spans="2:4" x14ac:dyDescent="0.25">
      <c r="B7" s="134" t="s">
        <v>112</v>
      </c>
      <c r="C7" s="134"/>
      <c r="D7" s="134"/>
    </row>
    <row r="8" spans="2:4" x14ac:dyDescent="0.25">
      <c r="B8" s="45" t="s">
        <v>113</v>
      </c>
      <c r="C8" s="45" t="s">
        <v>114</v>
      </c>
      <c r="D8" s="45" t="s">
        <v>115</v>
      </c>
    </row>
    <row r="9" spans="2:4" ht="47.25" x14ac:dyDescent="0.25">
      <c r="B9" s="75" t="s">
        <v>116</v>
      </c>
      <c r="C9" s="76">
        <v>0</v>
      </c>
      <c r="D9" s="75" t="s">
        <v>117</v>
      </c>
    </row>
    <row r="10" spans="2:4" x14ac:dyDescent="0.25">
      <c r="B10" s="75" t="s">
        <v>118</v>
      </c>
      <c r="C10" s="76">
        <v>0.08</v>
      </c>
      <c r="D10" s="75" t="s">
        <v>119</v>
      </c>
    </row>
    <row r="11" spans="2:4" x14ac:dyDescent="0.25">
      <c r="B11" s="75" t="s">
        <v>120</v>
      </c>
      <c r="C11" s="76">
        <v>1.4999999999999999E-2</v>
      </c>
      <c r="D11" s="75" t="s">
        <v>121</v>
      </c>
    </row>
    <row r="12" spans="2:4" ht="31.5" x14ac:dyDescent="0.25">
      <c r="B12" s="75" t="s">
        <v>122</v>
      </c>
      <c r="C12" s="76">
        <v>0.01</v>
      </c>
      <c r="D12" s="75" t="s">
        <v>123</v>
      </c>
    </row>
    <row r="13" spans="2:4" x14ac:dyDescent="0.25">
      <c r="B13" s="75" t="s">
        <v>124</v>
      </c>
      <c r="C13" s="76">
        <v>2E-3</v>
      </c>
      <c r="D13" s="75" t="s">
        <v>125</v>
      </c>
    </row>
    <row r="14" spans="2:4" x14ac:dyDescent="0.25">
      <c r="B14" s="75" t="s">
        <v>126</v>
      </c>
      <c r="C14" s="76">
        <v>6.0000000000000001E-3</v>
      </c>
      <c r="D14" s="75" t="s">
        <v>127</v>
      </c>
    </row>
    <row r="15" spans="2:4" x14ac:dyDescent="0.25">
      <c r="B15" s="75" t="s">
        <v>128</v>
      </c>
      <c r="C15" s="76">
        <v>2.5000000000000001E-2</v>
      </c>
      <c r="D15" s="75" t="s">
        <v>129</v>
      </c>
    </row>
    <row r="16" spans="2:4" ht="63" x14ac:dyDescent="0.25">
      <c r="B16" s="75" t="s">
        <v>130</v>
      </c>
      <c r="C16" s="76">
        <v>0.02</v>
      </c>
      <c r="D16" s="75" t="s">
        <v>131</v>
      </c>
    </row>
    <row r="17" spans="2:4" ht="50.25" customHeight="1" x14ac:dyDescent="0.25">
      <c r="B17" s="138" t="s">
        <v>132</v>
      </c>
      <c r="C17" s="138"/>
      <c r="D17" s="138"/>
    </row>
    <row r="18" spans="2:4" ht="5.0999999999999996" customHeight="1" x14ac:dyDescent="0.25">
      <c r="B18" s="136"/>
      <c r="C18" s="136"/>
      <c r="D18" s="136"/>
    </row>
    <row r="19" spans="2:4" x14ac:dyDescent="0.25">
      <c r="B19" s="134" t="s">
        <v>133</v>
      </c>
      <c r="C19" s="134"/>
      <c r="D19" s="134"/>
    </row>
    <row r="20" spans="2:4" x14ac:dyDescent="0.25">
      <c r="B20" s="45" t="s">
        <v>113</v>
      </c>
      <c r="C20" s="45" t="s">
        <v>114</v>
      </c>
      <c r="D20" s="45" t="s">
        <v>115</v>
      </c>
    </row>
    <row r="21" spans="2:4" x14ac:dyDescent="0.25">
      <c r="B21" s="75" t="s">
        <v>134</v>
      </c>
      <c r="C21" s="77" t="s">
        <v>135</v>
      </c>
      <c r="D21" s="75" t="s">
        <v>136</v>
      </c>
    </row>
    <row r="22" spans="2:4" x14ac:dyDescent="0.25">
      <c r="B22" s="75" t="s">
        <v>137</v>
      </c>
      <c r="C22" s="77" t="s">
        <v>135</v>
      </c>
      <c r="D22" s="75" t="s">
        <v>136</v>
      </c>
    </row>
    <row r="23" spans="2:4" x14ac:dyDescent="0.25">
      <c r="B23" s="75" t="s">
        <v>138</v>
      </c>
      <c r="C23" s="76" t="s">
        <v>139</v>
      </c>
      <c r="D23" s="75" t="s">
        <v>140</v>
      </c>
    </row>
    <row r="24" spans="2:4" ht="31.5" x14ac:dyDescent="0.25">
      <c r="B24" s="75" t="s">
        <v>141</v>
      </c>
      <c r="C24" s="76" t="s">
        <v>142</v>
      </c>
      <c r="D24" s="75" t="s">
        <v>143</v>
      </c>
    </row>
    <row r="25" spans="2:4" ht="31.5" x14ac:dyDescent="0.25">
      <c r="B25" s="75" t="s">
        <v>144</v>
      </c>
      <c r="C25" s="76" t="s">
        <v>145</v>
      </c>
      <c r="D25" s="75" t="s">
        <v>146</v>
      </c>
    </row>
    <row r="26" spans="2:4" x14ac:dyDescent="0.25">
      <c r="B26" s="75" t="s">
        <v>147</v>
      </c>
      <c r="C26" s="76" t="s">
        <v>148</v>
      </c>
      <c r="D26" s="75" t="s">
        <v>146</v>
      </c>
    </row>
    <row r="27" spans="2:4" x14ac:dyDescent="0.25">
      <c r="B27" s="75" t="s">
        <v>149</v>
      </c>
      <c r="C27" s="76" t="s">
        <v>150</v>
      </c>
      <c r="D27" s="75" t="s">
        <v>151</v>
      </c>
    </row>
    <row r="28" spans="2:4" x14ac:dyDescent="0.25">
      <c r="B28" s="75" t="s">
        <v>152</v>
      </c>
      <c r="C28" s="76" t="s">
        <v>153</v>
      </c>
      <c r="D28" s="75" t="s">
        <v>154</v>
      </c>
    </row>
    <row r="29" spans="2:4" x14ac:dyDescent="0.25">
      <c r="B29" s="78" t="s">
        <v>155</v>
      </c>
      <c r="C29" s="78"/>
      <c r="D29" s="78"/>
    </row>
    <row r="30" spans="2:4" x14ac:dyDescent="0.25">
      <c r="B30" s="139" t="s">
        <v>156</v>
      </c>
      <c r="C30" s="140"/>
      <c r="D30" s="141"/>
    </row>
    <row r="31" spans="2:4" ht="34.5" customHeight="1" x14ac:dyDescent="0.25">
      <c r="B31" s="131" t="s">
        <v>157</v>
      </c>
      <c r="C31" s="132"/>
      <c r="D31" s="133"/>
    </row>
    <row r="32" spans="2:4" ht="30.75" customHeight="1" x14ac:dyDescent="0.25">
      <c r="B32" s="131" t="s">
        <v>158</v>
      </c>
      <c r="C32" s="132"/>
      <c r="D32" s="133"/>
    </row>
    <row r="33" spans="2:4" x14ac:dyDescent="0.25">
      <c r="B33" s="131" t="s">
        <v>159</v>
      </c>
      <c r="C33" s="132"/>
      <c r="D33" s="133"/>
    </row>
    <row r="34" spans="2:4" x14ac:dyDescent="0.25">
      <c r="B34" s="131" t="s">
        <v>160</v>
      </c>
      <c r="C34" s="132"/>
      <c r="D34" s="133"/>
    </row>
    <row r="35" spans="2:4" x14ac:dyDescent="0.25">
      <c r="B35" s="142" t="s">
        <v>161</v>
      </c>
      <c r="C35" s="143"/>
      <c r="D35" s="144"/>
    </row>
    <row r="36" spans="2:4" ht="5.0999999999999996" customHeight="1" x14ac:dyDescent="0.25">
      <c r="B36" s="136"/>
      <c r="C36" s="136"/>
      <c r="D36" s="136"/>
    </row>
    <row r="37" spans="2:4" x14ac:dyDescent="0.25">
      <c r="B37" s="134" t="s">
        <v>162</v>
      </c>
      <c r="C37" s="134"/>
      <c r="D37" s="134"/>
    </row>
    <row r="38" spans="2:4" x14ac:dyDescent="0.25">
      <c r="B38" s="45" t="s">
        <v>113</v>
      </c>
      <c r="C38" s="45" t="s">
        <v>114</v>
      </c>
      <c r="D38" s="45" t="s">
        <v>115</v>
      </c>
    </row>
    <row r="39" spans="2:4" x14ac:dyDescent="0.25">
      <c r="B39" s="75" t="s">
        <v>163</v>
      </c>
      <c r="C39" s="77" t="s">
        <v>164</v>
      </c>
      <c r="D39" s="75" t="s">
        <v>165</v>
      </c>
    </row>
    <row r="40" spans="2:4" x14ac:dyDescent="0.25">
      <c r="B40" s="75" t="s">
        <v>166</v>
      </c>
      <c r="C40" s="77" t="s">
        <v>167</v>
      </c>
      <c r="D40" s="75" t="s">
        <v>168</v>
      </c>
    </row>
    <row r="41" spans="2:4" x14ac:dyDescent="0.25">
      <c r="B41" s="75" t="s">
        <v>169</v>
      </c>
      <c r="C41" s="76" t="s">
        <v>170</v>
      </c>
      <c r="D41" s="75" t="s">
        <v>171</v>
      </c>
    </row>
    <row r="42" spans="2:4" x14ac:dyDescent="0.25">
      <c r="B42" s="75" t="s">
        <v>172</v>
      </c>
      <c r="C42" s="76" t="s">
        <v>173</v>
      </c>
      <c r="D42" s="75" t="s">
        <v>174</v>
      </c>
    </row>
    <row r="43" spans="2:4" ht="31.5" x14ac:dyDescent="0.25">
      <c r="B43" s="75" t="s">
        <v>175</v>
      </c>
      <c r="C43" s="76" t="s">
        <v>176</v>
      </c>
      <c r="D43" s="75" t="s">
        <v>174</v>
      </c>
    </row>
    <row r="44" spans="2:4" x14ac:dyDescent="0.25">
      <c r="B44" s="78" t="s">
        <v>155</v>
      </c>
      <c r="C44" s="78"/>
      <c r="D44" s="78"/>
    </row>
    <row r="45" spans="2:4" x14ac:dyDescent="0.25">
      <c r="B45" s="139" t="s">
        <v>177</v>
      </c>
      <c r="C45" s="140"/>
      <c r="D45" s="141"/>
    </row>
    <row r="46" spans="2:4" ht="32.25" customHeight="1" x14ac:dyDescent="0.25">
      <c r="B46" s="131" t="s">
        <v>178</v>
      </c>
      <c r="C46" s="132"/>
      <c r="D46" s="133"/>
    </row>
    <row r="47" spans="2:4" x14ac:dyDescent="0.25">
      <c r="B47" s="142" t="s">
        <v>179</v>
      </c>
      <c r="C47" s="143"/>
      <c r="D47" s="144"/>
    </row>
    <row r="48" spans="2:4" ht="5.0999999999999996" customHeight="1" x14ac:dyDescent="0.25">
      <c r="B48" s="136"/>
      <c r="C48" s="136"/>
      <c r="D48" s="136"/>
    </row>
    <row r="49" spans="2:4" x14ac:dyDescent="0.25">
      <c r="B49" s="134" t="s">
        <v>180</v>
      </c>
      <c r="C49" s="134"/>
      <c r="D49" s="134"/>
    </row>
    <row r="50" spans="2:4" x14ac:dyDescent="0.25">
      <c r="B50" s="45" t="s">
        <v>113</v>
      </c>
      <c r="C50" s="45" t="s">
        <v>114</v>
      </c>
      <c r="D50" s="45" t="s">
        <v>115</v>
      </c>
    </row>
    <row r="51" spans="2:4" x14ac:dyDescent="0.25">
      <c r="B51" s="75" t="s">
        <v>181</v>
      </c>
      <c r="C51" s="77" t="s">
        <v>182</v>
      </c>
      <c r="D51" s="77" t="s">
        <v>32</v>
      </c>
    </row>
    <row r="52" spans="2:4" ht="5.0999999999999996" customHeight="1" x14ac:dyDescent="0.25">
      <c r="B52" s="136"/>
      <c r="C52" s="136"/>
      <c r="D52" s="136"/>
    </row>
    <row r="53" spans="2:4" x14ac:dyDescent="0.25">
      <c r="B53" s="134" t="s">
        <v>183</v>
      </c>
      <c r="C53" s="134"/>
      <c r="D53" s="134"/>
    </row>
    <row r="54" spans="2:4" x14ac:dyDescent="0.25">
      <c r="B54" s="45" t="s">
        <v>113</v>
      </c>
      <c r="C54" s="45" t="s">
        <v>114</v>
      </c>
      <c r="D54" s="45" t="s">
        <v>115</v>
      </c>
    </row>
    <row r="55" spans="2:4" ht="31.5" x14ac:dyDescent="0.25">
      <c r="B55" s="75" t="s">
        <v>184</v>
      </c>
      <c r="C55" s="77" t="s">
        <v>185</v>
      </c>
      <c r="D55" s="75" t="s">
        <v>186</v>
      </c>
    </row>
    <row r="56" spans="2:4" ht="31.5" x14ac:dyDescent="0.25">
      <c r="B56" s="75" t="s">
        <v>187</v>
      </c>
      <c r="C56" s="77" t="s">
        <v>188</v>
      </c>
      <c r="D56" s="75" t="s">
        <v>189</v>
      </c>
    </row>
    <row r="57" spans="2:4" x14ac:dyDescent="0.25">
      <c r="B57" s="75" t="s">
        <v>190</v>
      </c>
      <c r="C57" s="76" t="s">
        <v>191</v>
      </c>
      <c r="D57" s="75" t="s">
        <v>189</v>
      </c>
    </row>
    <row r="58" spans="2:4" x14ac:dyDescent="0.25">
      <c r="B58" s="78" t="s">
        <v>155</v>
      </c>
      <c r="C58" s="78"/>
      <c r="D58" s="78"/>
    </row>
    <row r="59" spans="2:4" ht="20.25" customHeight="1" x14ac:dyDescent="0.25">
      <c r="B59" s="139" t="s">
        <v>192</v>
      </c>
      <c r="C59" s="140"/>
      <c r="D59" s="141"/>
    </row>
    <row r="60" spans="2:4" ht="21.75" customHeight="1" x14ac:dyDescent="0.25">
      <c r="B60" s="142"/>
      <c r="C60" s="143"/>
      <c r="D60" s="144"/>
    </row>
    <row r="61" spans="2:4" ht="5.0999999999999996" customHeight="1" x14ac:dyDescent="0.25">
      <c r="B61" s="136"/>
      <c r="C61" s="136"/>
      <c r="D61" s="136"/>
    </row>
    <row r="62" spans="2:4" x14ac:dyDescent="0.25">
      <c r="B62" s="134" t="s">
        <v>193</v>
      </c>
      <c r="C62" s="134"/>
      <c r="D62" s="134"/>
    </row>
    <row r="63" spans="2:4" x14ac:dyDescent="0.25">
      <c r="B63" s="45" t="s">
        <v>113</v>
      </c>
      <c r="C63" s="45" t="s">
        <v>114</v>
      </c>
      <c r="D63" s="45" t="s">
        <v>115</v>
      </c>
    </row>
    <row r="64" spans="2:4" x14ac:dyDescent="0.25">
      <c r="B64" s="75" t="s">
        <v>194</v>
      </c>
      <c r="C64" s="77" t="s">
        <v>195</v>
      </c>
      <c r="D64" s="77" t="s">
        <v>32</v>
      </c>
    </row>
    <row r="65" spans="2:8" ht="5.0999999999999996" customHeight="1" x14ac:dyDescent="0.25">
      <c r="B65" s="136"/>
      <c r="C65" s="136"/>
      <c r="D65" s="136"/>
      <c r="E65" s="79"/>
      <c r="F65" s="79"/>
      <c r="G65" s="79"/>
      <c r="H65" s="79"/>
    </row>
    <row r="66" spans="2:8" x14ac:dyDescent="0.25">
      <c r="B66" s="134" t="s">
        <v>196</v>
      </c>
      <c r="C66" s="134"/>
      <c r="D66" s="134"/>
      <c r="E66" s="79"/>
      <c r="F66" s="79"/>
      <c r="G66" s="79"/>
      <c r="H66" s="79"/>
    </row>
    <row r="67" spans="2:8" ht="5.0999999999999996" customHeight="1" x14ac:dyDescent="0.25">
      <c r="B67" s="137"/>
      <c r="C67" s="137"/>
      <c r="D67" s="137"/>
      <c r="E67" s="79"/>
      <c r="F67" s="79"/>
      <c r="G67" s="79"/>
      <c r="H67" s="79"/>
    </row>
    <row r="68" spans="2:8" ht="15" customHeight="1" x14ac:dyDescent="0.25">
      <c r="B68" s="46" t="s">
        <v>72</v>
      </c>
      <c r="C68" s="139" t="s">
        <v>197</v>
      </c>
      <c r="D68" s="141"/>
      <c r="E68" s="79"/>
      <c r="F68" s="79"/>
      <c r="G68" s="79"/>
      <c r="H68" s="79"/>
    </row>
    <row r="69" spans="2:8" ht="15" customHeight="1" x14ac:dyDescent="0.25">
      <c r="B69" s="46" t="s">
        <v>73</v>
      </c>
      <c r="C69" s="131"/>
      <c r="D69" s="133"/>
      <c r="E69" s="79"/>
      <c r="F69" s="79"/>
      <c r="G69" s="79"/>
      <c r="H69" s="79"/>
    </row>
    <row r="70" spans="2:8" ht="15" customHeight="1" x14ac:dyDescent="0.25">
      <c r="B70" s="46" t="s">
        <v>75</v>
      </c>
      <c r="C70" s="142"/>
      <c r="D70" s="144"/>
      <c r="E70" s="79"/>
      <c r="F70" s="79"/>
      <c r="G70" s="79"/>
      <c r="H70" s="79"/>
    </row>
    <row r="71" spans="2:8" ht="81" customHeight="1" x14ac:dyDescent="0.25">
      <c r="B71" s="47" t="s">
        <v>76</v>
      </c>
      <c r="C71" s="145" t="s">
        <v>198</v>
      </c>
      <c r="D71" s="146"/>
      <c r="E71" s="79"/>
      <c r="F71" s="79"/>
      <c r="G71" s="79"/>
      <c r="H71" s="79"/>
    </row>
    <row r="72" spans="2:8" ht="97.5" customHeight="1" x14ac:dyDescent="0.25">
      <c r="B72" s="47" t="s">
        <v>199</v>
      </c>
      <c r="C72" s="145" t="s">
        <v>200</v>
      </c>
      <c r="D72" s="146"/>
      <c r="E72" s="79"/>
      <c r="F72" s="79"/>
      <c r="G72" s="79"/>
      <c r="H72" s="79"/>
    </row>
    <row r="73" spans="2:8" ht="5.0999999999999996" customHeight="1" x14ac:dyDescent="0.25">
      <c r="B73" s="136"/>
      <c r="C73" s="136"/>
      <c r="D73" s="136"/>
      <c r="E73" s="79"/>
      <c r="F73" s="79"/>
      <c r="G73" s="79"/>
      <c r="H73" s="79"/>
    </row>
    <row r="74" spans="2:8" x14ac:dyDescent="0.25">
      <c r="B74" s="134" t="s">
        <v>201</v>
      </c>
      <c r="C74" s="134"/>
      <c r="D74" s="134"/>
      <c r="E74" s="79"/>
      <c r="F74" s="79"/>
      <c r="G74" s="79"/>
      <c r="H74" s="79"/>
    </row>
    <row r="75" spans="2:8" ht="5.0999999999999996" customHeight="1" x14ac:dyDescent="0.25">
      <c r="B75" s="135"/>
      <c r="C75" s="135"/>
      <c r="D75" s="135"/>
      <c r="E75" s="79"/>
      <c r="F75" s="79"/>
      <c r="G75" s="79"/>
      <c r="H75" s="79"/>
    </row>
    <row r="76" spans="2:8" x14ac:dyDescent="0.25">
      <c r="B76" s="147" t="s">
        <v>202</v>
      </c>
      <c r="C76" s="147"/>
      <c r="D76" s="147"/>
      <c r="E76" s="79"/>
      <c r="F76" s="79"/>
      <c r="G76" s="79"/>
      <c r="H76" s="79"/>
    </row>
    <row r="77" spans="2:8" ht="39" customHeight="1" x14ac:dyDescent="0.25">
      <c r="B77" s="148" t="s">
        <v>203</v>
      </c>
      <c r="C77" s="148"/>
      <c r="D77" s="148"/>
      <c r="E77" s="79"/>
      <c r="F77" s="79"/>
      <c r="G77" s="79"/>
      <c r="H77" s="79"/>
    </row>
    <row r="78" spans="2:8" x14ac:dyDescent="0.25">
      <c r="B78" s="148" t="s">
        <v>204</v>
      </c>
      <c r="C78" s="148"/>
      <c r="D78" s="148"/>
      <c r="E78" s="79"/>
      <c r="F78" s="79"/>
      <c r="G78" s="79"/>
      <c r="H78" s="80"/>
    </row>
    <row r="79" spans="2:8" ht="15" customHeight="1" x14ac:dyDescent="0.25">
      <c r="B79" s="149" t="s">
        <v>205</v>
      </c>
      <c r="C79" s="150"/>
      <c r="D79" s="151"/>
      <c r="E79" s="79"/>
      <c r="F79" s="79"/>
      <c r="G79" s="79"/>
      <c r="H79" s="79"/>
    </row>
    <row r="80" spans="2:8" ht="26.25" customHeight="1" x14ac:dyDescent="0.25">
      <c r="B80" s="148" t="s">
        <v>206</v>
      </c>
      <c r="C80" s="148"/>
      <c r="D80" s="148"/>
      <c r="E80" s="79"/>
      <c r="F80" s="79"/>
      <c r="G80" s="79"/>
      <c r="H80" s="79"/>
    </row>
  </sheetData>
  <mergeCells count="41">
    <mergeCell ref="B76:D76"/>
    <mergeCell ref="B77:D77"/>
    <mergeCell ref="B78:D78"/>
    <mergeCell ref="B79:D79"/>
    <mergeCell ref="B80:D80"/>
    <mergeCell ref="B75:D75"/>
    <mergeCell ref="B59:D60"/>
    <mergeCell ref="B61:D61"/>
    <mergeCell ref="B62:D62"/>
    <mergeCell ref="B65:D65"/>
    <mergeCell ref="B66:D66"/>
    <mergeCell ref="B67:D67"/>
    <mergeCell ref="C68:D70"/>
    <mergeCell ref="C71:D71"/>
    <mergeCell ref="C72:D72"/>
    <mergeCell ref="B73:D73"/>
    <mergeCell ref="B74:D74"/>
    <mergeCell ref="B53:D53"/>
    <mergeCell ref="B33:D33"/>
    <mergeCell ref="B34:D34"/>
    <mergeCell ref="B35:D35"/>
    <mergeCell ref="B36:D36"/>
    <mergeCell ref="B37:D37"/>
    <mergeCell ref="B45:D45"/>
    <mergeCell ref="B46:D46"/>
    <mergeCell ref="B47:D47"/>
    <mergeCell ref="B48:D48"/>
    <mergeCell ref="B49:D49"/>
    <mergeCell ref="B52:D52"/>
    <mergeCell ref="B32:D32"/>
    <mergeCell ref="B2:D2"/>
    <mergeCell ref="B3:D3"/>
    <mergeCell ref="B4:D4"/>
    <mergeCell ref="B5:D5"/>
    <mergeCell ref="B6:D6"/>
    <mergeCell ref="B7:D7"/>
    <mergeCell ref="B17:D17"/>
    <mergeCell ref="B18:D18"/>
    <mergeCell ref="B19:D19"/>
    <mergeCell ref="B30:D30"/>
    <mergeCell ref="B31:D31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4DAD-56B3-484D-8D15-03F281EE24CD}">
  <dimension ref="A1:G106"/>
  <sheetViews>
    <sheetView showGridLines="0" tabSelected="1" zoomScale="150" zoomScaleNormal="150" workbookViewId="0">
      <selection activeCell="A62" sqref="A62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" bestFit="1" customWidth="1"/>
    <col min="5" max="5" width="2.42578125" style="52" customWidth="1"/>
    <col min="6" max="6" width="117.42578125" bestFit="1" customWidth="1"/>
  </cols>
  <sheetData>
    <row r="1" spans="1:6" ht="15.75" thickBot="1" x14ac:dyDescent="0.3">
      <c r="A1" s="52"/>
      <c r="C1" s="52"/>
      <c r="F1" s="64" t="s">
        <v>22</v>
      </c>
    </row>
    <row r="2" spans="1:6" ht="45" x14ac:dyDescent="0.25">
      <c r="B2" s="96" t="s">
        <v>23</v>
      </c>
      <c r="C2" s="97"/>
      <c r="D2" s="98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13194.07</v>
      </c>
    </row>
    <row r="5" spans="1:6" x14ac:dyDescent="0.25">
      <c r="B5" s="104" t="s">
        <v>28</v>
      </c>
      <c r="C5" s="105"/>
      <c r="D5" s="2">
        <f>D4</f>
        <v>13194.07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1055.5255999999999</v>
      </c>
    </row>
    <row r="12" spans="1:6" x14ac:dyDescent="0.25">
      <c r="B12" s="3" t="s">
        <v>34</v>
      </c>
      <c r="C12" s="4">
        <v>1.4999999999999999E-2</v>
      </c>
      <c r="D12" s="5">
        <f>(D5)*C12</f>
        <v>197.91104999999999</v>
      </c>
    </row>
    <row r="13" spans="1:6" ht="15" customHeight="1" x14ac:dyDescent="0.25">
      <c r="B13" s="3" t="s">
        <v>35</v>
      </c>
      <c r="C13" s="4">
        <v>0.01</v>
      </c>
      <c r="D13" s="5">
        <f>(D5)*C13</f>
        <v>131.94069999999999</v>
      </c>
    </row>
    <row r="14" spans="1:6" x14ac:dyDescent="0.25">
      <c r="B14" s="3" t="s">
        <v>36</v>
      </c>
      <c r="C14" s="4">
        <v>2E-3</v>
      </c>
      <c r="D14" s="5">
        <f>(D5)*C14</f>
        <v>26.38814</v>
      </c>
    </row>
    <row r="15" spans="1:6" x14ac:dyDescent="0.25">
      <c r="B15" s="3" t="s">
        <v>37</v>
      </c>
      <c r="C15" s="4">
        <v>6.0000000000000001E-3</v>
      </c>
      <c r="D15" s="5">
        <f>(D5)*C15</f>
        <v>79.164420000000007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329.85175000000004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131.94069999999999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1952.7223599999998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1099.4618531000001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1099.4618531000001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256.49272079999997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29.290835400000002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6.7289757000000003</v>
      </c>
    </row>
    <row r="26" spans="2:6" x14ac:dyDescent="0.25">
      <c r="B26" s="3" t="s">
        <v>47</v>
      </c>
      <c r="C26" s="54">
        <v>4.15E-3</v>
      </c>
      <c r="D26" s="5">
        <f>(D5)*C26</f>
        <v>54.755390499999997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5.1456872999999996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2.638814</v>
      </c>
      <c r="E28" s="53"/>
    </row>
    <row r="29" spans="2:6" x14ac:dyDescent="0.25">
      <c r="B29" s="7" t="s">
        <v>50</v>
      </c>
      <c r="C29" s="10">
        <f>SUM(C21:C28)</f>
        <v>0.19356999999999999</v>
      </c>
      <c r="D29" s="1">
        <f>SUM(D21:D28)</f>
        <v>2553.9761299000002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55.0192719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37.7350402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422.21024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366.53126459999999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1.7152290999999997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883.21104579999997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2.8649999999999998E-2</v>
      </c>
      <c r="D40" s="5">
        <f>D5*C40</f>
        <v>378.01010549999995</v>
      </c>
      <c r="E40" s="53"/>
    </row>
    <row r="41" spans="2:5" x14ac:dyDescent="0.25">
      <c r="B41" s="7" t="s">
        <v>60</v>
      </c>
      <c r="C41" s="8">
        <f>SUM(C40)</f>
        <v>2.8649999999999998E-2</v>
      </c>
      <c r="D41" s="1">
        <f>SUM(D40)</f>
        <v>378.01010549999995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4.3540431000000002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0.52776279999999998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29.290835400000002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34.172641300000002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13.0621293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13.0621293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0.44074000000000002</v>
      </c>
      <c r="D53" s="1">
        <f>D51+D47+D41+D37+D29+D18</f>
        <v>5815.1544118000002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19009.224411800002</v>
      </c>
      <c r="E55" s="53"/>
    </row>
    <row r="56" spans="1:7" x14ac:dyDescent="0.25">
      <c r="B56" s="15"/>
      <c r="C56" s="21"/>
      <c r="D56" s="22"/>
      <c r="E56" s="53"/>
    </row>
    <row r="57" spans="1:7" ht="15.75" thickBot="1" x14ac:dyDescent="0.3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v>135</v>
      </c>
    </row>
    <row r="63" spans="1:7" x14ac:dyDescent="0.25">
      <c r="B63" s="25" t="s">
        <v>77</v>
      </c>
      <c r="C63" s="26"/>
      <c r="D63" s="56"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20329.224411800002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  <c r="F69" s="68"/>
    </row>
    <row r="70" spans="2:6" x14ac:dyDescent="0.25">
      <c r="B70" s="31" t="s">
        <v>83</v>
      </c>
      <c r="C70" s="58">
        <v>0.05</v>
      </c>
      <c r="D70" s="32">
        <f>C70*D67</f>
        <v>1016.4612205900002</v>
      </c>
    </row>
    <row r="71" spans="2:6" x14ac:dyDescent="0.25">
      <c r="B71" s="33" t="s">
        <v>84</v>
      </c>
      <c r="C71" s="58">
        <v>0.1</v>
      </c>
      <c r="D71" s="32">
        <f>C71*(D67+D70)</f>
        <v>2134.5685632390005</v>
      </c>
      <c r="F71" s="67"/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3151.0297838290007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522.65451743191988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783.98177614787983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169.86271816537396</v>
      </c>
    </row>
    <row r="78" spans="2:6" x14ac:dyDescent="0.25">
      <c r="B78" s="3" t="s">
        <v>91</v>
      </c>
      <c r="C78" s="57">
        <v>4.4999999999999998E-2</v>
      </c>
      <c r="D78" s="5">
        <f>(D67+D72)/(1-C79)*C78</f>
        <v>1175.9726642218197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2652.47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26132.720000000001</v>
      </c>
      <c r="E81" s="60"/>
    </row>
    <row r="82" spans="1:6" x14ac:dyDescent="0.25">
      <c r="B82" s="49"/>
      <c r="C82" s="50" t="s">
        <v>94</v>
      </c>
      <c r="D82" s="63">
        <f>D81/D4</f>
        <v>1.980641303252143</v>
      </c>
      <c r="E82" s="60"/>
    </row>
    <row r="83" spans="1:6" x14ac:dyDescent="0.25">
      <c r="B83" s="118" t="s">
        <v>95</v>
      </c>
      <c r="C83" s="119"/>
      <c r="D83" s="5">
        <f>ROUND(D81*12,2)</f>
        <v>313592.64</v>
      </c>
      <c r="E83" s="53"/>
      <c r="F83" s="52"/>
    </row>
    <row r="84" spans="1:6" ht="23.25" thickBot="1" x14ac:dyDescent="0.3">
      <c r="B84" s="39" t="s">
        <v>96</v>
      </c>
      <c r="C84" s="40">
        <v>5</v>
      </c>
      <c r="D84" s="41">
        <f>D83*C84</f>
        <v>1567963.2000000002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7:D7"/>
    <mergeCell ref="B2:D2"/>
    <mergeCell ref="B3:D3"/>
    <mergeCell ref="B4:C4"/>
    <mergeCell ref="B5:C5"/>
    <mergeCell ref="B6:D6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5C2E-0215-449B-99EE-6BA5240420EC}">
  <dimension ref="A1:G106"/>
  <sheetViews>
    <sheetView showGridLines="0" topLeftCell="A43" zoomScale="150" zoomScaleNormal="150" workbookViewId="0">
      <selection activeCell="F58" sqref="F58:F61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.85546875" bestFit="1" customWidth="1"/>
    <col min="5" max="5" width="2.42578125" style="52" customWidth="1"/>
    <col min="6" max="6" width="117.42578125" bestFit="1" customWidth="1"/>
  </cols>
  <sheetData>
    <row r="1" spans="1:6" ht="15.75" thickBot="1" x14ac:dyDescent="0.3">
      <c r="A1" s="52"/>
      <c r="C1" s="52"/>
      <c r="F1" s="64" t="s">
        <v>97</v>
      </c>
    </row>
    <row r="2" spans="1:6" ht="45" x14ac:dyDescent="0.25">
      <c r="B2" s="96" t="s">
        <v>98</v>
      </c>
      <c r="C2" s="97"/>
      <c r="D2" s="98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11113.4</v>
      </c>
    </row>
    <row r="5" spans="1:6" x14ac:dyDescent="0.25">
      <c r="B5" s="104" t="s">
        <v>28</v>
      </c>
      <c r="C5" s="105"/>
      <c r="D5" s="2">
        <f>D4</f>
        <v>11113.4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889.072</v>
      </c>
    </row>
    <row r="12" spans="1:6" x14ac:dyDescent="0.25">
      <c r="B12" s="3" t="s">
        <v>34</v>
      </c>
      <c r="C12" s="4">
        <v>1.4999999999999999E-2</v>
      </c>
      <c r="D12" s="5">
        <f>(D5)*C12</f>
        <v>166.70099999999999</v>
      </c>
    </row>
    <row r="13" spans="1:6" ht="15" customHeight="1" x14ac:dyDescent="0.25">
      <c r="B13" s="3" t="s">
        <v>35</v>
      </c>
      <c r="C13" s="4">
        <v>0.01</v>
      </c>
      <c r="D13" s="5">
        <f>(D5)*C13</f>
        <v>111.134</v>
      </c>
    </row>
    <row r="14" spans="1:6" x14ac:dyDescent="0.25">
      <c r="B14" s="3" t="s">
        <v>36</v>
      </c>
      <c r="C14" s="4">
        <v>2E-3</v>
      </c>
      <c r="D14" s="5">
        <f>(D5)*C14</f>
        <v>22.226800000000001</v>
      </c>
    </row>
    <row r="15" spans="1:6" x14ac:dyDescent="0.25">
      <c r="B15" s="3" t="s">
        <v>37</v>
      </c>
      <c r="C15" s="4">
        <v>6.0000000000000001E-3</v>
      </c>
      <c r="D15" s="5">
        <f>(D5)*C15</f>
        <v>66.680400000000006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277.83499999999998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111.134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1644.7831999999999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926.07962199999997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926.07962199999997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216.04449599999998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24.671748000000001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5.667834</v>
      </c>
    </row>
    <row r="26" spans="2:6" x14ac:dyDescent="0.25">
      <c r="B26" s="3" t="s">
        <v>47</v>
      </c>
      <c r="C26" s="54">
        <v>4.15E-3</v>
      </c>
      <c r="D26" s="5">
        <f>(D5)*C26</f>
        <v>46.120609999999999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4.3342260000000001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2.22268</v>
      </c>
      <c r="E28" s="53"/>
    </row>
    <row r="29" spans="2:6" x14ac:dyDescent="0.25">
      <c r="B29" s="7" t="s">
        <v>50</v>
      </c>
      <c r="C29" s="10">
        <f>SUM(C21:C28)</f>
        <v>0.19356999999999999</v>
      </c>
      <c r="D29" s="1">
        <f>SUM(D21:D28)</f>
        <v>2151.2208379999997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46.342877999999999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31.784324000000002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355.62880000000001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308.73025200000001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1.4447419999999997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743.93099600000005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2.8649999999999998E-2</v>
      </c>
      <c r="D40" s="5">
        <f>D5*C40</f>
        <v>318.39890999999994</v>
      </c>
      <c r="E40" s="53"/>
    </row>
    <row r="41" spans="2:5" x14ac:dyDescent="0.25">
      <c r="B41" s="7" t="s">
        <v>60</v>
      </c>
      <c r="C41" s="8">
        <f>SUM(C40)</f>
        <v>2.8649999999999998E-2</v>
      </c>
      <c r="D41" s="1">
        <f>SUM(D40)</f>
        <v>318.39890999999994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3.6674219999999997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0.44453600000000004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24.671748000000001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28.783706000000002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11.002265999999999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11.002265999999999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0.44074000000000002</v>
      </c>
      <c r="D53" s="1">
        <f>D51+D47+D41+D37+D29+D18</f>
        <v>4898.1199159999996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16011.519915999999</v>
      </c>
      <c r="E55" s="53"/>
    </row>
    <row r="56" spans="1:7" x14ac:dyDescent="0.25">
      <c r="B56" s="15"/>
      <c r="C56" s="21"/>
      <c r="D56" s="22"/>
      <c r="E56" s="53"/>
    </row>
    <row r="57" spans="1:7" ht="15.75" thickBot="1" x14ac:dyDescent="0.3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675.57</v>
      </c>
      <c r="G61" s="27"/>
    </row>
    <row r="62" spans="1:7" ht="43.5" customHeight="1" x14ac:dyDescent="0.25">
      <c r="B62" s="28" t="s">
        <v>76</v>
      </c>
      <c r="C62" s="29"/>
      <c r="D62" s="56">
        <v>135</v>
      </c>
    </row>
    <row r="63" spans="1:7" x14ac:dyDescent="0.25">
      <c r="B63" s="25" t="s">
        <v>77</v>
      </c>
      <c r="C63" s="26"/>
      <c r="D63" s="56"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1195.5700000000002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17207.089916000001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v>0.05</v>
      </c>
      <c r="D70" s="32">
        <f>C70*D67</f>
        <v>860.35449580000011</v>
      </c>
    </row>
    <row r="71" spans="2:6" x14ac:dyDescent="0.25">
      <c r="B71" s="33" t="s">
        <v>84</v>
      </c>
      <c r="C71" s="58">
        <v>0.1</v>
      </c>
      <c r="D71" s="32">
        <f>C71*(D67+D70)</f>
        <v>1806.74444118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2667.09893698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442.38595109582644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663.57892664373969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143.77543410614359</v>
      </c>
    </row>
    <row r="78" spans="2:6" x14ac:dyDescent="0.25">
      <c r="B78" s="3" t="s">
        <v>91</v>
      </c>
      <c r="C78" s="57">
        <v>4.4999999999999998E-2</v>
      </c>
      <c r="D78" s="5">
        <f>(D67+D72)/(1-C79)*C78</f>
        <v>995.36838996560948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2245.11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22119.3</v>
      </c>
      <c r="E81" s="60"/>
    </row>
    <row r="82" spans="1:6" x14ac:dyDescent="0.25">
      <c r="B82" s="49"/>
      <c r="C82" s="50" t="s">
        <v>94</v>
      </c>
      <c r="D82" s="63">
        <f>D81/D4</f>
        <v>1.9903269926395162</v>
      </c>
      <c r="E82" s="60"/>
    </row>
    <row r="83" spans="1:6" x14ac:dyDescent="0.25">
      <c r="B83" s="118" t="s">
        <v>95</v>
      </c>
      <c r="C83" s="119"/>
      <c r="D83" s="5">
        <f>ROUND(D81*12,2)</f>
        <v>265431.59999999998</v>
      </c>
      <c r="E83" s="53"/>
      <c r="F83" s="52"/>
    </row>
    <row r="84" spans="1:6" ht="23.25" thickBot="1" x14ac:dyDescent="0.3">
      <c r="B84" s="39" t="s">
        <v>96</v>
      </c>
      <c r="C84" s="40">
        <v>5</v>
      </c>
      <c r="D84" s="41">
        <f>D83*C84</f>
        <v>1327158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7:D7"/>
    <mergeCell ref="B2:D2"/>
    <mergeCell ref="B3:D3"/>
    <mergeCell ref="B4:C4"/>
    <mergeCell ref="B5:C5"/>
    <mergeCell ref="B6:D6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84E0-DB6A-474C-A654-6B864D5EEF74}">
  <dimension ref="A1:G106"/>
  <sheetViews>
    <sheetView showGridLines="0" topLeftCell="A52" zoomScale="150" zoomScaleNormal="150" workbookViewId="0">
      <selection activeCell="D62" sqref="D62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.85546875" bestFit="1" customWidth="1"/>
    <col min="5" max="5" width="2.42578125" style="52" customWidth="1"/>
    <col min="6" max="6" width="117.42578125" bestFit="1" customWidth="1"/>
  </cols>
  <sheetData>
    <row r="1" spans="1:6" x14ac:dyDescent="0.25">
      <c r="A1" s="52"/>
      <c r="C1" s="52"/>
      <c r="F1" s="64" t="s">
        <v>97</v>
      </c>
    </row>
    <row r="2" spans="1:6" ht="45" x14ac:dyDescent="0.25">
      <c r="B2" s="96" t="s">
        <v>99</v>
      </c>
      <c r="C2" s="97"/>
      <c r="D2" s="98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16299.92</v>
      </c>
    </row>
    <row r="5" spans="1:6" x14ac:dyDescent="0.25">
      <c r="B5" s="104" t="s">
        <v>28</v>
      </c>
      <c r="C5" s="105"/>
      <c r="D5" s="2">
        <f>D4</f>
        <v>16299.92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1303.9936</v>
      </c>
    </row>
    <row r="12" spans="1:6" x14ac:dyDescent="0.25">
      <c r="B12" s="3" t="s">
        <v>34</v>
      </c>
      <c r="C12" s="4">
        <v>1.4999999999999999E-2</v>
      </c>
      <c r="D12" s="5">
        <f>(D5)*C12</f>
        <v>244.49879999999999</v>
      </c>
    </row>
    <row r="13" spans="1:6" ht="15" customHeight="1" x14ac:dyDescent="0.25">
      <c r="B13" s="3" t="s">
        <v>35</v>
      </c>
      <c r="C13" s="4">
        <v>0.01</v>
      </c>
      <c r="D13" s="5">
        <f>(D5)*C13</f>
        <v>162.9992</v>
      </c>
    </row>
    <row r="14" spans="1:6" x14ac:dyDescent="0.25">
      <c r="B14" s="3" t="s">
        <v>36</v>
      </c>
      <c r="C14" s="4">
        <v>2E-3</v>
      </c>
      <c r="D14" s="5">
        <f>(D5)*C14</f>
        <v>32.59984</v>
      </c>
    </row>
    <row r="15" spans="1:6" x14ac:dyDescent="0.25">
      <c r="B15" s="3" t="s">
        <v>37</v>
      </c>
      <c r="C15" s="4">
        <v>6.0000000000000001E-3</v>
      </c>
      <c r="D15" s="5">
        <f>(D5)*C15</f>
        <v>97.799520000000001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407.49800000000005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162.9992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2412.3881600000004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1358.2723336000001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1358.2723336000001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316.87044479999997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36.185822400000006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8.3129591999999999</v>
      </c>
    </row>
    <row r="26" spans="2:6" x14ac:dyDescent="0.25">
      <c r="B26" s="3" t="s">
        <v>47</v>
      </c>
      <c r="C26" s="54">
        <v>4.15E-3</v>
      </c>
      <c r="D26" s="5">
        <f>(D5)*C26</f>
        <v>67.644667999999996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6.3569687999999998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3.2599840000000002</v>
      </c>
      <c r="E28" s="53"/>
    </row>
    <row r="29" spans="2:6" x14ac:dyDescent="0.25">
      <c r="B29" s="7" t="s">
        <v>50</v>
      </c>
      <c r="C29" s="10">
        <f>SUM(C21:C28)</f>
        <v>0.19356999999999999</v>
      </c>
      <c r="D29" s="1">
        <f>SUM(D21:D28)</f>
        <v>3155.1755143999999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67.970666399999999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46.6177712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521.59744000000001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452.81177759999997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2.1189895999999999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1091.1166448000001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2.8649999999999998E-2</v>
      </c>
      <c r="D40" s="5">
        <f>D5*C40</f>
        <v>466.99270799999999</v>
      </c>
      <c r="E40" s="53"/>
    </row>
    <row r="41" spans="2:5" x14ac:dyDescent="0.25">
      <c r="B41" s="7" t="s">
        <v>60</v>
      </c>
      <c r="C41" s="8">
        <f>SUM(C40)</f>
        <v>2.8649999999999998E-2</v>
      </c>
      <c r="D41" s="1">
        <f>SUM(D40)</f>
        <v>466.99270799999999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5.3789736000000001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0.65199680000000004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36.185822400000006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42.216792800000007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16.136920799999999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16.136920799999999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0.44074000000000002</v>
      </c>
      <c r="D53" s="1">
        <f>D51+D47+D41+D37+D29+D18</f>
        <v>7184.0267408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23483.946740799998</v>
      </c>
      <c r="E55" s="53"/>
    </row>
    <row r="56" spans="1:7" x14ac:dyDescent="0.25">
      <c r="B56" s="15"/>
      <c r="C56" s="21"/>
      <c r="D56" s="22"/>
      <c r="E56" s="53"/>
    </row>
    <row r="57" spans="1:7" x14ac:dyDescent="0.25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v>135</v>
      </c>
    </row>
    <row r="63" spans="1:7" x14ac:dyDescent="0.25">
      <c r="B63" s="25" t="s">
        <v>77</v>
      </c>
      <c r="C63" s="26"/>
      <c r="D63" s="56"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24803.946740799998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v>0.05</v>
      </c>
      <c r="D70" s="32">
        <f>C70*D67</f>
        <v>1240.1973370400001</v>
      </c>
    </row>
    <row r="71" spans="2:6" x14ac:dyDescent="0.25">
      <c r="B71" s="33" t="s">
        <v>84</v>
      </c>
      <c r="C71" s="58">
        <v>0.1</v>
      </c>
      <c r="D71" s="32">
        <f>C71*(D67+D70)</f>
        <v>2604.4144077840001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3844.6117448240002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637.69746211739562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956.54619317609342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207.25167518815357</v>
      </c>
    </row>
    <row r="78" spans="2:6" x14ac:dyDescent="0.25">
      <c r="B78" s="3" t="s">
        <v>91</v>
      </c>
      <c r="C78" s="57">
        <v>4.4999999999999998E-2</v>
      </c>
      <c r="D78" s="5">
        <f>(D67+D72)/(1-C79)*C78</f>
        <v>1434.8192897641402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3236.31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31884.87</v>
      </c>
      <c r="E81" s="60"/>
    </row>
    <row r="82" spans="1:6" x14ac:dyDescent="0.25">
      <c r="B82" s="49"/>
      <c r="C82" s="50" t="s">
        <v>94</v>
      </c>
      <c r="D82" s="63">
        <f>D81/D4</f>
        <v>1.9561365945354332</v>
      </c>
      <c r="E82" s="60"/>
    </row>
    <row r="83" spans="1:6" x14ac:dyDescent="0.25">
      <c r="B83" s="118" t="s">
        <v>95</v>
      </c>
      <c r="C83" s="119"/>
      <c r="D83" s="5">
        <f>ROUND(D81*12,2)</f>
        <v>382618.44</v>
      </c>
      <c r="E83" s="53"/>
      <c r="F83" s="52"/>
    </row>
    <row r="84" spans="1:6" ht="22.5" x14ac:dyDescent="0.25">
      <c r="B84" s="39" t="s">
        <v>96</v>
      </c>
      <c r="C84" s="40">
        <v>20</v>
      </c>
      <c r="D84" s="41">
        <f>D83*C84</f>
        <v>7652368.7999999998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7:D7"/>
    <mergeCell ref="B2:D2"/>
    <mergeCell ref="B3:D3"/>
    <mergeCell ref="B4:C4"/>
    <mergeCell ref="B5:C5"/>
    <mergeCell ref="B6:D6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</mergeCells>
  <pageMargins left="0.511811024" right="0.511811024" top="0.78740157499999996" bottom="0.78740157499999996" header="0.31496062000000002" footer="0.31496062000000002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739A-A02F-429D-B0BC-9D01601839FB}">
  <dimension ref="A1:G106"/>
  <sheetViews>
    <sheetView showGridLines="0" topLeftCell="A48" zoomScale="150" zoomScaleNormal="150" workbookViewId="0">
      <selection activeCell="F58" sqref="F58:F61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.85546875" bestFit="1" customWidth="1"/>
    <col min="5" max="5" width="2.42578125" style="52" customWidth="1"/>
    <col min="6" max="6" width="117.42578125" bestFit="1" customWidth="1"/>
  </cols>
  <sheetData>
    <row r="1" spans="1:6" x14ac:dyDescent="0.25">
      <c r="A1" s="52"/>
      <c r="C1" s="52"/>
      <c r="F1" s="64" t="s">
        <v>97</v>
      </c>
    </row>
    <row r="2" spans="1:6" ht="45" x14ac:dyDescent="0.25">
      <c r="B2" s="96" t="s">
        <v>100</v>
      </c>
      <c r="C2" s="97"/>
      <c r="D2" s="98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10210.44</v>
      </c>
    </row>
    <row r="5" spans="1:6" x14ac:dyDescent="0.25">
      <c r="B5" s="104" t="s">
        <v>28</v>
      </c>
      <c r="C5" s="105"/>
      <c r="D5" s="2">
        <f>D4</f>
        <v>10210.44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816.8352000000001</v>
      </c>
    </row>
    <row r="12" spans="1:6" x14ac:dyDescent="0.25">
      <c r="B12" s="3" t="s">
        <v>34</v>
      </c>
      <c r="C12" s="4">
        <v>1.4999999999999999E-2</v>
      </c>
      <c r="D12" s="5">
        <f>(D5)*C12</f>
        <v>153.1566</v>
      </c>
    </row>
    <row r="13" spans="1:6" ht="15" customHeight="1" x14ac:dyDescent="0.25">
      <c r="B13" s="3" t="s">
        <v>35</v>
      </c>
      <c r="C13" s="4">
        <v>0.01</v>
      </c>
      <c r="D13" s="5">
        <f>(D5)*C13</f>
        <v>102.10440000000001</v>
      </c>
    </row>
    <row r="14" spans="1:6" x14ac:dyDescent="0.25">
      <c r="B14" s="3" t="s">
        <v>36</v>
      </c>
      <c r="C14" s="4">
        <v>2E-3</v>
      </c>
      <c r="D14" s="5">
        <f>(D5)*C14</f>
        <v>20.42088</v>
      </c>
    </row>
    <row r="15" spans="1:6" x14ac:dyDescent="0.25">
      <c r="B15" s="3" t="s">
        <v>37</v>
      </c>
      <c r="C15" s="4">
        <v>6.0000000000000001E-3</v>
      </c>
      <c r="D15" s="5">
        <f>(D5)*C15</f>
        <v>61.262640000000005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255.26100000000002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102.10440000000001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1511.1451199999999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850.83596520000003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850.83596520000003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198.49095360000001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22.667176800000004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5.207324400000001</v>
      </c>
    </row>
    <row r="26" spans="2:6" x14ac:dyDescent="0.25">
      <c r="B26" s="3" t="s">
        <v>47</v>
      </c>
      <c r="C26" s="54">
        <v>4.15E-3</v>
      </c>
      <c r="D26" s="5">
        <f>(D5)*C26</f>
        <v>42.373326000000006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3.9820716000000003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2.0420880000000001</v>
      </c>
      <c r="E28" s="53"/>
    </row>
    <row r="29" spans="2:6" x14ac:dyDescent="0.25">
      <c r="B29" s="7" t="s">
        <v>50</v>
      </c>
      <c r="C29" s="10">
        <f>SUM(C21:C28)</f>
        <v>0.19356999999999999</v>
      </c>
      <c r="D29" s="1">
        <f>SUM(D21:D28)</f>
        <v>1976.4348708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42.577534800000002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29.201858400000003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326.73408000000001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283.6460232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1.3273572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683.48685360000013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2.8649999999999998E-2</v>
      </c>
      <c r="D40" s="5">
        <f>D5*C40</f>
        <v>292.52910600000001</v>
      </c>
      <c r="E40" s="53"/>
    </row>
    <row r="41" spans="2:5" x14ac:dyDescent="0.25">
      <c r="B41" s="7" t="s">
        <v>60</v>
      </c>
      <c r="C41" s="8">
        <f>SUM(C40)</f>
        <v>2.8649999999999998E-2</v>
      </c>
      <c r="D41" s="1">
        <f>SUM(D40)</f>
        <v>292.52910600000001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3.3694452000000004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0.40841760000000005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22.667176800000004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26.445039600000005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10.1083356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10.1083356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0.44074000000000002</v>
      </c>
      <c r="D53" s="1">
        <f>D51+D47+D41+D37+D29+D18</f>
        <v>4500.1493256000003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14710.589325600002</v>
      </c>
      <c r="E55" s="53"/>
    </row>
    <row r="56" spans="1:7" x14ac:dyDescent="0.25">
      <c r="B56" s="15"/>
      <c r="C56" s="21"/>
      <c r="D56" s="22"/>
      <c r="E56" s="53"/>
    </row>
    <row r="57" spans="1:7" x14ac:dyDescent="0.25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v>135</v>
      </c>
    </row>
    <row r="63" spans="1:7" x14ac:dyDescent="0.25">
      <c r="B63" s="25" t="s">
        <v>77</v>
      </c>
      <c r="C63" s="26"/>
      <c r="D63" s="56"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16030.589325600002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v>0.05</v>
      </c>
      <c r="D70" s="32">
        <f>C70*D67</f>
        <v>801.52946628000018</v>
      </c>
    </row>
    <row r="71" spans="2:6" x14ac:dyDescent="0.25">
      <c r="B71" s="33" t="s">
        <v>84</v>
      </c>
      <c r="C71" s="58">
        <v>0.1</v>
      </c>
      <c r="D71" s="32">
        <f>C71*(D67+D70)</f>
        <v>1683.2118791880002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2484.7413454680004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412.13869050791322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618.20803576186972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133.94507441507179</v>
      </c>
    </row>
    <row r="78" spans="2:6" x14ac:dyDescent="0.25">
      <c r="B78" s="3" t="s">
        <v>91</v>
      </c>
      <c r="C78" s="57">
        <v>4.4999999999999998E-2</v>
      </c>
      <c r="D78" s="5">
        <f>(D67+D72)/(1-C79)*C78</f>
        <v>927.3120536428047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2091.6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20606.93</v>
      </c>
      <c r="E81" s="60"/>
    </row>
    <row r="82" spans="1:6" x14ac:dyDescent="0.25">
      <c r="B82" s="49"/>
      <c r="C82" s="50" t="s">
        <v>94</v>
      </c>
      <c r="D82" s="63">
        <f>D81/D4</f>
        <v>2.0182215457903872</v>
      </c>
      <c r="E82" s="60"/>
    </row>
    <row r="83" spans="1:6" x14ac:dyDescent="0.25">
      <c r="B83" s="118" t="s">
        <v>95</v>
      </c>
      <c r="C83" s="119"/>
      <c r="D83" s="5">
        <f>ROUND(D81*12,2)</f>
        <v>247283.16</v>
      </c>
      <c r="E83" s="53"/>
      <c r="F83" s="52"/>
    </row>
    <row r="84" spans="1:6" ht="22.5" x14ac:dyDescent="0.25">
      <c r="B84" s="39" t="s">
        <v>96</v>
      </c>
      <c r="C84" s="40">
        <v>2</v>
      </c>
      <c r="D84" s="41">
        <f>D83*C84</f>
        <v>494566.32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7:D7"/>
    <mergeCell ref="B2:D2"/>
    <mergeCell ref="B3:D3"/>
    <mergeCell ref="B4:C4"/>
    <mergeCell ref="B5:C5"/>
    <mergeCell ref="B6:D6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</mergeCells>
  <pageMargins left="0.511811024" right="0.511811024" top="0.78740157499999996" bottom="0.78740157499999996" header="0.31496062000000002" footer="0.31496062000000002"/>
  <pageSetup paperSize="9" orientation="portrait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0515D-6E5F-48AE-A60C-B7BE11E0570B}">
  <dimension ref="A1:G106"/>
  <sheetViews>
    <sheetView showGridLines="0" topLeftCell="A55" zoomScale="150" zoomScaleNormal="150" workbookViewId="0">
      <selection activeCell="D60" sqref="D60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" bestFit="1" customWidth="1"/>
    <col min="5" max="5" width="2.42578125" style="52" customWidth="1"/>
    <col min="6" max="6" width="117.42578125" bestFit="1" customWidth="1"/>
  </cols>
  <sheetData>
    <row r="1" spans="1:6" ht="15.75" thickBot="1" x14ac:dyDescent="0.3">
      <c r="A1" s="52"/>
      <c r="C1" s="52"/>
      <c r="F1" s="64" t="s">
        <v>97</v>
      </c>
    </row>
    <row r="2" spans="1:6" ht="45" x14ac:dyDescent="0.25">
      <c r="B2" s="128" t="s">
        <v>101</v>
      </c>
      <c r="C2" s="129"/>
      <c r="D2" s="130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16416.39</v>
      </c>
    </row>
    <row r="5" spans="1:6" x14ac:dyDescent="0.25">
      <c r="B5" s="104" t="s">
        <v>28</v>
      </c>
      <c r="C5" s="105"/>
      <c r="D5" s="2">
        <f>D4</f>
        <v>16416.39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1313.3111999999999</v>
      </c>
    </row>
    <row r="12" spans="1:6" x14ac:dyDescent="0.25">
      <c r="B12" s="3" t="s">
        <v>34</v>
      </c>
      <c r="C12" s="4">
        <v>1.4999999999999999E-2</v>
      </c>
      <c r="D12" s="5">
        <f>(D5)*C12</f>
        <v>246.24584999999999</v>
      </c>
    </row>
    <row r="13" spans="1:6" ht="15" customHeight="1" x14ac:dyDescent="0.25">
      <c r="B13" s="3" t="s">
        <v>35</v>
      </c>
      <c r="C13" s="4">
        <v>0.01</v>
      </c>
      <c r="D13" s="5">
        <f>(D5)*C13</f>
        <v>164.16389999999998</v>
      </c>
    </row>
    <row r="14" spans="1:6" x14ac:dyDescent="0.25">
      <c r="B14" s="3" t="s">
        <v>36</v>
      </c>
      <c r="C14" s="4">
        <v>2E-3</v>
      </c>
      <c r="D14" s="5">
        <f>(D5)*C14</f>
        <v>32.83278</v>
      </c>
    </row>
    <row r="15" spans="1:6" x14ac:dyDescent="0.25">
      <c r="B15" s="3" t="s">
        <v>37</v>
      </c>
      <c r="C15" s="4">
        <v>6.0000000000000001E-3</v>
      </c>
      <c r="D15" s="5">
        <f>(D5)*C15</f>
        <v>98.498339999999999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410.40975000000003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164.16389999999998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2429.62572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1367.9777787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1367.9777787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319.13462159999995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36.444385799999999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8.3723589</v>
      </c>
    </row>
    <row r="26" spans="2:6" x14ac:dyDescent="0.25">
      <c r="B26" s="3" t="s">
        <v>47</v>
      </c>
      <c r="C26" s="54">
        <f>ROUND(((100%/30)*1)/12,5)</f>
        <v>2.7799999999999999E-3</v>
      </c>
      <c r="D26" s="5">
        <f>(D5)*C26</f>
        <v>45.6375642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6.4023920999999993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3.2832780000000001</v>
      </c>
      <c r="E28" s="53"/>
    </row>
    <row r="29" spans="2:6" x14ac:dyDescent="0.25">
      <c r="B29" s="7" t="s">
        <v>50</v>
      </c>
      <c r="C29" s="10">
        <f>SUM(C21:C28)</f>
        <v>0.19220000000000001</v>
      </c>
      <c r="D29" s="1">
        <f>SUM(D21:D28)</f>
        <v>3155.2301579999994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68.456346299999993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46.950875400000001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525.32447999999999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456.04731419999996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2.1341306999999996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1098.9131466000001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2.845E-2</v>
      </c>
      <c r="D40" s="5">
        <f>D5*C40</f>
        <v>467.04629549999999</v>
      </c>
      <c r="E40" s="53"/>
    </row>
    <row r="41" spans="2:5" x14ac:dyDescent="0.25">
      <c r="B41" s="7" t="s">
        <v>60</v>
      </c>
      <c r="C41" s="8">
        <f>SUM(C40)</f>
        <v>2.845E-2</v>
      </c>
      <c r="D41" s="1">
        <f>SUM(D40)</f>
        <v>467.04629549999999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5.4174087000000002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0.65665560000000001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36.444385799999999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42.518450099999995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16.252226099999998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16.252226099999998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0.43917000000000006</v>
      </c>
      <c r="D53" s="1">
        <f>D51+D47+D41+D37+D29+D18</f>
        <v>7209.5859962999994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23625.9759963</v>
      </c>
      <c r="E55" s="53"/>
    </row>
    <row r="56" spans="1:7" x14ac:dyDescent="0.25">
      <c r="B56" s="15"/>
      <c r="C56" s="21"/>
      <c r="D56" s="22"/>
      <c r="E56" s="53"/>
    </row>
    <row r="57" spans="1:7" ht="15.75" thickBot="1" x14ac:dyDescent="0.3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f>'Analista de UX (Experiência do '!D62</f>
        <v>135</v>
      </c>
    </row>
    <row r="63" spans="1:7" x14ac:dyDescent="0.25">
      <c r="B63" s="25" t="s">
        <v>77</v>
      </c>
      <c r="C63" s="26"/>
      <c r="D63" s="56">
        <f>'Analista de UX (Experiência do '!D63</f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24945.9759963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f>'Analista de Requisitos'!C70</f>
        <v>0.05</v>
      </c>
      <c r="D70" s="32">
        <f>C70*D67</f>
        <v>1247.2987998150002</v>
      </c>
    </row>
    <row r="71" spans="2:6" x14ac:dyDescent="0.25">
      <c r="B71" s="33" t="s">
        <v>84</v>
      </c>
      <c r="C71" s="58">
        <f>'Analista de Requisitos'!C71</f>
        <v>0.1</v>
      </c>
      <c r="D71" s="32">
        <f>C71*(D67+D70)</f>
        <v>2619.3274796115002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3866.6262794265003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641.34896551422378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962.02344827133561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208.4384137921227</v>
      </c>
    </row>
    <row r="78" spans="2:6" x14ac:dyDescent="0.25">
      <c r="B78" s="3" t="s">
        <v>91</v>
      </c>
      <c r="C78" s="58">
        <f>'Analista de Requisitos'!C78</f>
        <v>4.4999999999999998E-2</v>
      </c>
      <c r="D78" s="5">
        <f>(D67+D72)/(1-C79)*C78</f>
        <v>1443.0351724070033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3254.85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32067.45</v>
      </c>
      <c r="E81" s="60"/>
    </row>
    <row r="82" spans="1:6" x14ac:dyDescent="0.25">
      <c r="B82" s="49"/>
      <c r="C82" s="50" t="s">
        <v>94</v>
      </c>
      <c r="D82" s="63">
        <f>D81/D4</f>
        <v>1.9533801280305843</v>
      </c>
      <c r="E82" s="60"/>
    </row>
    <row r="83" spans="1:6" x14ac:dyDescent="0.25">
      <c r="B83" s="118" t="s">
        <v>95</v>
      </c>
      <c r="C83" s="119"/>
      <c r="D83" s="5">
        <f>ROUND(D81*12,2)</f>
        <v>384809.4</v>
      </c>
      <c r="E83" s="53"/>
      <c r="F83" s="52"/>
    </row>
    <row r="84" spans="1:6" ht="23.25" thickBot="1" x14ac:dyDescent="0.3">
      <c r="B84" s="39" t="s">
        <v>96</v>
      </c>
      <c r="C84" s="40">
        <v>2</v>
      </c>
      <c r="D84" s="41">
        <f>D83*C84</f>
        <v>769618.8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7:D7"/>
    <mergeCell ref="B2:D2"/>
    <mergeCell ref="B3:D3"/>
    <mergeCell ref="B4:C4"/>
    <mergeCell ref="B5:C5"/>
    <mergeCell ref="B6:D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21DF-757F-4A21-A4E8-10488340FF8C}">
  <dimension ref="A1:G106"/>
  <sheetViews>
    <sheetView showGridLines="0" topLeftCell="A55" zoomScale="150" zoomScaleNormal="150" workbookViewId="0">
      <selection activeCell="D60" sqref="D60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" bestFit="1" customWidth="1"/>
    <col min="5" max="5" width="2.42578125" style="52" customWidth="1"/>
    <col min="6" max="6" width="117.42578125" bestFit="1" customWidth="1"/>
  </cols>
  <sheetData>
    <row r="1" spans="1:6" x14ac:dyDescent="0.25">
      <c r="A1" s="52"/>
      <c r="C1" s="52"/>
      <c r="F1" s="64" t="s">
        <v>97</v>
      </c>
    </row>
    <row r="2" spans="1:6" ht="45" x14ac:dyDescent="0.25">
      <c r="B2" s="128" t="s">
        <v>102</v>
      </c>
      <c r="C2" s="129"/>
      <c r="D2" s="130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18311.86</v>
      </c>
    </row>
    <row r="5" spans="1:6" x14ac:dyDescent="0.25">
      <c r="B5" s="104" t="s">
        <v>28</v>
      </c>
      <c r="C5" s="105"/>
      <c r="D5" s="2">
        <f>D4</f>
        <v>18311.86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1464.9488000000001</v>
      </c>
    </row>
    <row r="12" spans="1:6" x14ac:dyDescent="0.25">
      <c r="B12" s="3" t="s">
        <v>34</v>
      </c>
      <c r="C12" s="4">
        <v>1.4999999999999999E-2</v>
      </c>
      <c r="D12" s="5">
        <f>(D5)*C12</f>
        <v>274.67790000000002</v>
      </c>
    </row>
    <row r="13" spans="1:6" ht="15" customHeight="1" x14ac:dyDescent="0.25">
      <c r="B13" s="3" t="s">
        <v>35</v>
      </c>
      <c r="C13" s="4">
        <v>0.01</v>
      </c>
      <c r="D13" s="5">
        <f>(D5)*C13</f>
        <v>183.11860000000001</v>
      </c>
    </row>
    <row r="14" spans="1:6" x14ac:dyDescent="0.25">
      <c r="B14" s="3" t="s">
        <v>36</v>
      </c>
      <c r="C14" s="4">
        <v>2E-3</v>
      </c>
      <c r="D14" s="5">
        <f>(D5)*C14</f>
        <v>36.623719999999999</v>
      </c>
    </row>
    <row r="15" spans="1:6" x14ac:dyDescent="0.25">
      <c r="B15" s="3" t="s">
        <v>37</v>
      </c>
      <c r="C15" s="4">
        <v>6.0000000000000001E-3</v>
      </c>
      <c r="D15" s="5">
        <f>(D5)*C15</f>
        <v>109.87116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457.79650000000004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183.11860000000001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2710.1552799999999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1525.9272938000001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1525.9272938000001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355.98255840000002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40.652329200000004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9.3390486000000017</v>
      </c>
    </row>
    <row r="26" spans="2:6" x14ac:dyDescent="0.25">
      <c r="B26" s="3" t="s">
        <v>47</v>
      </c>
      <c r="C26" s="54">
        <f>ROUND(((100%/30)*1)/12,5)</f>
        <v>2.7799999999999999E-3</v>
      </c>
      <c r="D26" s="5">
        <f>(D5)*C26</f>
        <v>50.906970800000003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7.1416253999999997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3.6623720000000004</v>
      </c>
      <c r="E28" s="53"/>
    </row>
    <row r="29" spans="2:6" x14ac:dyDescent="0.25">
      <c r="B29" s="7" t="s">
        <v>50</v>
      </c>
      <c r="C29" s="10">
        <f>SUM(C21:C28)</f>
        <v>0.19220000000000001</v>
      </c>
      <c r="D29" s="1">
        <f>SUM(D21:D28)</f>
        <v>3519.5394920000003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76.360456200000002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52.371919600000005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585.97951999999998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508.70347079999999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2.3805418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1225.7959083999999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2.845E-2</v>
      </c>
      <c r="D40" s="5">
        <f>D5*C40</f>
        <v>520.97241700000006</v>
      </c>
      <c r="E40" s="53"/>
    </row>
    <row r="41" spans="2:5" x14ac:dyDescent="0.25">
      <c r="B41" s="7" t="s">
        <v>60</v>
      </c>
      <c r="C41" s="8">
        <f>SUM(C40)</f>
        <v>2.845E-2</v>
      </c>
      <c r="D41" s="1">
        <f>SUM(D40)</f>
        <v>520.97241700000006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6.0429138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0.73247440000000008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40.652329200000004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47.427717400000006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18.128741399999999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18.128741399999999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0.43917000000000006</v>
      </c>
      <c r="D53" s="1">
        <f>D51+D47+D41+D37+D29+D18</f>
        <v>8042.0195561999999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26353.879556200001</v>
      </c>
      <c r="E55" s="53"/>
    </row>
    <row r="56" spans="1:7" x14ac:dyDescent="0.25">
      <c r="B56" s="15"/>
      <c r="C56" s="21"/>
      <c r="D56" s="22"/>
      <c r="E56" s="53"/>
    </row>
    <row r="57" spans="1:7" x14ac:dyDescent="0.25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f>'Analista de UX (Experiência do '!D62</f>
        <v>135</v>
      </c>
    </row>
    <row r="63" spans="1:7" x14ac:dyDescent="0.25">
      <c r="B63" s="25" t="s">
        <v>77</v>
      </c>
      <c r="C63" s="26"/>
      <c r="D63" s="56">
        <f>'Analista de UX (Experiência do '!D63</f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27673.879556200001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f>'Analista de Requisitos'!C70</f>
        <v>0.05</v>
      </c>
      <c r="D70" s="32">
        <f>C70*D67</f>
        <v>1383.6939778100002</v>
      </c>
    </row>
    <row r="71" spans="2:6" x14ac:dyDescent="0.25">
      <c r="B71" s="33" t="s">
        <v>84</v>
      </c>
      <c r="C71" s="58">
        <f>'Analista de Requisitos'!C71</f>
        <v>0.1</v>
      </c>
      <c r="D71" s="32">
        <f>C71*(D67+D70)</f>
        <v>2905.7573534010003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4289.4513312110003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711.48204535138575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1067.2230680270786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231.23166473920037</v>
      </c>
    </row>
    <row r="78" spans="2:6" x14ac:dyDescent="0.25">
      <c r="B78" s="3" t="s">
        <v>91</v>
      </c>
      <c r="C78" s="58">
        <f>'Analista de Requisitos'!C78</f>
        <v>4.4999999999999998E-2</v>
      </c>
      <c r="D78" s="5">
        <f>(D67+D72)/(1-C79)*C78</f>
        <v>1600.8346020406179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3610.77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35574.1</v>
      </c>
      <c r="E81" s="60"/>
    </row>
    <row r="82" spans="1:6" x14ac:dyDescent="0.25">
      <c r="B82" s="49"/>
      <c r="C82" s="50" t="s">
        <v>94</v>
      </c>
      <c r="D82" s="63">
        <f>D81/D4</f>
        <v>1.9426808636588526</v>
      </c>
      <c r="E82" s="60"/>
    </row>
    <row r="83" spans="1:6" x14ac:dyDescent="0.25">
      <c r="B83" s="118" t="s">
        <v>95</v>
      </c>
      <c r="C83" s="119"/>
      <c r="D83" s="5">
        <f>ROUND(D81*12,2)</f>
        <v>426889.2</v>
      </c>
      <c r="E83" s="53"/>
      <c r="F83" s="52"/>
    </row>
    <row r="84" spans="1:6" ht="22.5" x14ac:dyDescent="0.25">
      <c r="B84" s="39" t="s">
        <v>96</v>
      </c>
      <c r="C84" s="40">
        <v>2</v>
      </c>
      <c r="D84" s="41">
        <f>D83*C84</f>
        <v>853778.4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7:D7"/>
    <mergeCell ref="B2:D2"/>
    <mergeCell ref="B3:D3"/>
    <mergeCell ref="B4:C4"/>
    <mergeCell ref="B5:C5"/>
    <mergeCell ref="B6:D6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0974C-6C0C-46C4-9840-D19068F700C5}">
  <dimension ref="A1:G106"/>
  <sheetViews>
    <sheetView showGridLines="0" topLeftCell="A57" zoomScale="150" zoomScaleNormal="150" workbookViewId="0">
      <selection activeCell="D60" sqref="D60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" bestFit="1" customWidth="1"/>
    <col min="5" max="5" width="2.42578125" style="52" customWidth="1"/>
    <col min="6" max="6" width="117.42578125" bestFit="1" customWidth="1"/>
  </cols>
  <sheetData>
    <row r="1" spans="1:6" x14ac:dyDescent="0.25">
      <c r="A1" s="52"/>
      <c r="C1" s="52"/>
      <c r="F1" s="64" t="s">
        <v>97</v>
      </c>
    </row>
    <row r="2" spans="1:6" ht="45" x14ac:dyDescent="0.25">
      <c r="B2" s="128" t="s">
        <v>103</v>
      </c>
      <c r="C2" s="129"/>
      <c r="D2" s="130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13891.75</v>
      </c>
    </row>
    <row r="5" spans="1:6" x14ac:dyDescent="0.25">
      <c r="B5" s="104" t="s">
        <v>28</v>
      </c>
      <c r="C5" s="105"/>
      <c r="D5" s="2">
        <f>D4</f>
        <v>13891.75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1111.3399999999999</v>
      </c>
    </row>
    <row r="12" spans="1:6" x14ac:dyDescent="0.25">
      <c r="B12" s="3" t="s">
        <v>34</v>
      </c>
      <c r="C12" s="4">
        <v>1.4999999999999999E-2</v>
      </c>
      <c r="D12" s="5">
        <f>(D5)*C12</f>
        <v>208.37625</v>
      </c>
    </row>
    <row r="13" spans="1:6" ht="15" customHeight="1" x14ac:dyDescent="0.25">
      <c r="B13" s="3" t="s">
        <v>35</v>
      </c>
      <c r="C13" s="4">
        <v>0.01</v>
      </c>
      <c r="D13" s="5">
        <f>(D5)*C13</f>
        <v>138.91749999999999</v>
      </c>
    </row>
    <row r="14" spans="1:6" x14ac:dyDescent="0.25">
      <c r="B14" s="3" t="s">
        <v>36</v>
      </c>
      <c r="C14" s="4">
        <v>2E-3</v>
      </c>
      <c r="D14" s="5">
        <f>(D5)*C14</f>
        <v>27.7835</v>
      </c>
    </row>
    <row r="15" spans="1:6" x14ac:dyDescent="0.25">
      <c r="B15" s="3" t="s">
        <v>37</v>
      </c>
      <c r="C15" s="4">
        <v>6.0000000000000001E-3</v>
      </c>
      <c r="D15" s="5">
        <f>(D5)*C15</f>
        <v>83.350499999999997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347.29375000000005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138.91749999999999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2055.9789999999998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1157.5995275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1157.5995275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270.05561999999998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30.839685000000003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7.0847925000000007</v>
      </c>
    </row>
    <row r="26" spans="2:6" x14ac:dyDescent="0.25">
      <c r="B26" s="3" t="s">
        <v>47</v>
      </c>
      <c r="C26" s="54">
        <v>4.15E-3</v>
      </c>
      <c r="D26" s="5">
        <f>(D5)*C26</f>
        <v>57.650762499999999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5.4177824999999995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2.7783500000000001</v>
      </c>
      <c r="E28" s="53"/>
    </row>
    <row r="29" spans="2:6" x14ac:dyDescent="0.25">
      <c r="B29" s="7" t="s">
        <v>50</v>
      </c>
      <c r="C29" s="10">
        <f>SUM(C21:C28)</f>
        <v>0.19356999999999999</v>
      </c>
      <c r="D29" s="1">
        <f>SUM(D21:D28)</f>
        <v>2689.0260475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57.928597500000002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39.730405000000005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444.536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385.91281499999997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1.8059274999999999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929.91374500000006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2.8649999999999998E-2</v>
      </c>
      <c r="D40" s="5">
        <f>D5*C40</f>
        <v>397.99863749999997</v>
      </c>
      <c r="E40" s="53"/>
    </row>
    <row r="41" spans="2:5" x14ac:dyDescent="0.25">
      <c r="B41" s="7" t="s">
        <v>60</v>
      </c>
      <c r="C41" s="8">
        <f>SUM(C40)</f>
        <v>2.8649999999999998E-2</v>
      </c>
      <c r="D41" s="1">
        <f>SUM(D40)</f>
        <v>397.99863749999997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4.5842774999999998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0.55567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30.839685000000003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35.979632500000001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13.7528325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13.7528325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0.44074000000000002</v>
      </c>
      <c r="D53" s="1">
        <f>D51+D47+D41+D37+D29+D18</f>
        <v>6122.6498950000005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20014.399895000002</v>
      </c>
      <c r="E55" s="53"/>
    </row>
    <row r="56" spans="1:7" x14ac:dyDescent="0.25">
      <c r="B56" s="15"/>
      <c r="C56" s="21"/>
      <c r="D56" s="22"/>
      <c r="E56" s="53"/>
    </row>
    <row r="57" spans="1:7" x14ac:dyDescent="0.25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f>400*(1-50%)</f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f>'Analista de UX (Experiência do '!D62</f>
        <v>135</v>
      </c>
    </row>
    <row r="63" spans="1:7" x14ac:dyDescent="0.25">
      <c r="B63" s="25" t="s">
        <v>77</v>
      </c>
      <c r="C63" s="26"/>
      <c r="D63" s="56">
        <f>'Analista de UX (Experiência do '!D63</f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21334.399895000002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f>'Analista de Requisitos'!C70</f>
        <v>0.05</v>
      </c>
      <c r="D70" s="32">
        <f>C70*D67</f>
        <v>1066.7199947500001</v>
      </c>
    </row>
    <row r="71" spans="2:6" x14ac:dyDescent="0.25">
      <c r="B71" s="33" t="s">
        <v>84</v>
      </c>
      <c r="C71" s="58">
        <f>'Analista de Requisitos'!C71</f>
        <v>0.1</v>
      </c>
      <c r="D71" s="32">
        <f>C71*(D67+D70)</f>
        <v>2240.1119889750003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3306.8319837250001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548.49709245909867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822.74563868864789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178.26155504920706</v>
      </c>
    </row>
    <row r="78" spans="2:6" x14ac:dyDescent="0.25">
      <c r="B78" s="3" t="s">
        <v>91</v>
      </c>
      <c r="C78" s="58">
        <f>'Analista de Requisitos'!C78</f>
        <v>4.4999999999999998E-2</v>
      </c>
      <c r="D78" s="5">
        <f>(D67+D72)/(1-C79)*C78</f>
        <v>1234.1184580329718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2783.62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27424.85</v>
      </c>
      <c r="E81" s="60"/>
    </row>
    <row r="82" spans="1:6" x14ac:dyDescent="0.25">
      <c r="B82" s="49"/>
      <c r="C82" s="50" t="s">
        <v>94</v>
      </c>
      <c r="D82" s="63">
        <f>D81/D4</f>
        <v>1.9741825184012092</v>
      </c>
      <c r="E82" s="60"/>
    </row>
    <row r="83" spans="1:6" x14ac:dyDescent="0.25">
      <c r="B83" s="118" t="s">
        <v>95</v>
      </c>
      <c r="C83" s="119"/>
      <c r="D83" s="5">
        <f>ROUND(D81*12,2)</f>
        <v>329098.2</v>
      </c>
      <c r="E83" s="53"/>
      <c r="F83" s="52"/>
    </row>
    <row r="84" spans="1:6" ht="22.5" x14ac:dyDescent="0.25">
      <c r="B84" s="39" t="s">
        <v>96</v>
      </c>
      <c r="C84" s="40">
        <v>2</v>
      </c>
      <c r="D84" s="41">
        <f>D83*C84</f>
        <v>658196.4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7:D7"/>
    <mergeCell ref="B2:D2"/>
    <mergeCell ref="B3:D3"/>
    <mergeCell ref="B4:C4"/>
    <mergeCell ref="B5:C5"/>
    <mergeCell ref="B6:D6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B068-9149-4768-97D3-BC3F178E8F1A}">
  <dimension ref="A1:G106"/>
  <sheetViews>
    <sheetView showGridLines="0" topLeftCell="A39" zoomScale="150" zoomScaleNormal="150" workbookViewId="0">
      <selection activeCell="D60" sqref="D60"/>
    </sheetView>
  </sheetViews>
  <sheetFormatPr defaultColWidth="8.85546875" defaultRowHeight="15" x14ac:dyDescent="0.25"/>
  <cols>
    <col min="1" max="1" width="2.28515625" customWidth="1"/>
    <col min="2" max="2" width="40.7109375" bestFit="1" customWidth="1"/>
    <col min="3" max="3" width="7.7109375" bestFit="1" customWidth="1"/>
    <col min="4" max="4" width="12" bestFit="1" customWidth="1"/>
    <col min="5" max="5" width="2.42578125" style="52" customWidth="1"/>
    <col min="6" max="6" width="117.42578125" bestFit="1" customWidth="1"/>
  </cols>
  <sheetData>
    <row r="1" spans="1:6" x14ac:dyDescent="0.25">
      <c r="A1" s="52"/>
      <c r="C1" s="52"/>
      <c r="F1" s="64" t="s">
        <v>97</v>
      </c>
    </row>
    <row r="2" spans="1:6" ht="45" x14ac:dyDescent="0.25">
      <c r="B2" s="128" t="s">
        <v>104</v>
      </c>
      <c r="C2" s="129"/>
      <c r="D2" s="130"/>
      <c r="F2" s="65" t="s">
        <v>24</v>
      </c>
    </row>
    <row r="3" spans="1:6" ht="30" x14ac:dyDescent="0.25">
      <c r="B3" s="99" t="s">
        <v>25</v>
      </c>
      <c r="C3" s="100"/>
      <c r="D3" s="101"/>
      <c r="F3" s="66" t="s">
        <v>26</v>
      </c>
    </row>
    <row r="4" spans="1:6" x14ac:dyDescent="0.25">
      <c r="B4" s="102" t="s">
        <v>27</v>
      </c>
      <c r="C4" s="103"/>
      <c r="D4" s="62">
        <v>12628.87</v>
      </c>
    </row>
    <row r="5" spans="1:6" x14ac:dyDescent="0.25">
      <c r="B5" s="104" t="s">
        <v>28</v>
      </c>
      <c r="C5" s="105"/>
      <c r="D5" s="2">
        <f>D4</f>
        <v>12628.87</v>
      </c>
    </row>
    <row r="6" spans="1:6" x14ac:dyDescent="0.25">
      <c r="B6" s="106"/>
      <c r="C6" s="107"/>
      <c r="D6" s="108"/>
    </row>
    <row r="7" spans="1:6" x14ac:dyDescent="0.25">
      <c r="B7" s="93" t="s">
        <v>29</v>
      </c>
      <c r="C7" s="94"/>
      <c r="D7" s="95"/>
    </row>
    <row r="8" spans="1:6" x14ac:dyDescent="0.25">
      <c r="B8" s="112"/>
      <c r="C8" s="113"/>
      <c r="D8" s="114"/>
    </row>
    <row r="9" spans="1:6" x14ac:dyDescent="0.25">
      <c r="B9" s="109" t="s">
        <v>30</v>
      </c>
      <c r="C9" s="110"/>
      <c r="D9" s="111"/>
    </row>
    <row r="10" spans="1:6" ht="20.25" customHeight="1" x14ac:dyDescent="0.25">
      <c r="B10" s="3" t="s">
        <v>31</v>
      </c>
      <c r="C10" s="51">
        <v>0</v>
      </c>
      <c r="D10" s="5" t="s">
        <v>32</v>
      </c>
    </row>
    <row r="11" spans="1:6" x14ac:dyDescent="0.25">
      <c r="B11" s="3" t="s">
        <v>33</v>
      </c>
      <c r="C11" s="4">
        <v>0.08</v>
      </c>
      <c r="D11" s="5">
        <f>(D5)*C11</f>
        <v>1010.3096</v>
      </c>
    </row>
    <row r="12" spans="1:6" x14ac:dyDescent="0.25">
      <c r="B12" s="3" t="s">
        <v>34</v>
      </c>
      <c r="C12" s="4">
        <v>1.4999999999999999E-2</v>
      </c>
      <c r="D12" s="5">
        <f>(D5)*C12</f>
        <v>189.43305000000001</v>
      </c>
    </row>
    <row r="13" spans="1:6" ht="15" customHeight="1" x14ac:dyDescent="0.25">
      <c r="B13" s="3" t="s">
        <v>35</v>
      </c>
      <c r="C13" s="4">
        <v>0.01</v>
      </c>
      <c r="D13" s="5">
        <f>(D5)*C13</f>
        <v>126.28870000000001</v>
      </c>
    </row>
    <row r="14" spans="1:6" x14ac:dyDescent="0.25">
      <c r="B14" s="3" t="s">
        <v>36</v>
      </c>
      <c r="C14" s="4">
        <v>2E-3</v>
      </c>
      <c r="D14" s="5">
        <f>(D5)*C14</f>
        <v>25.257740000000002</v>
      </c>
    </row>
    <row r="15" spans="1:6" x14ac:dyDescent="0.25">
      <c r="B15" s="3" t="s">
        <v>37</v>
      </c>
      <c r="C15" s="4">
        <v>6.0000000000000001E-3</v>
      </c>
      <c r="D15" s="5">
        <f>(D5)*C15</f>
        <v>75.773220000000009</v>
      </c>
    </row>
    <row r="16" spans="1:6" ht="21" customHeight="1" x14ac:dyDescent="0.25">
      <c r="B16" s="3" t="s">
        <v>38</v>
      </c>
      <c r="C16" s="4">
        <v>2.5000000000000001E-2</v>
      </c>
      <c r="D16" s="5">
        <f>(D5)*C16</f>
        <v>315.72175000000004</v>
      </c>
    </row>
    <row r="17" spans="2:6" ht="22.5" customHeight="1" x14ac:dyDescent="0.25">
      <c r="B17" s="3" t="s">
        <v>39</v>
      </c>
      <c r="C17" s="6">
        <f>2%*0.5</f>
        <v>0.01</v>
      </c>
      <c r="D17" s="5">
        <f>(D5)*C17</f>
        <v>126.28870000000001</v>
      </c>
    </row>
    <row r="18" spans="2:6" x14ac:dyDescent="0.25">
      <c r="B18" s="7" t="s">
        <v>40</v>
      </c>
      <c r="C18" s="8">
        <f>SUM(C10:C17)</f>
        <v>0.14800000000000002</v>
      </c>
      <c r="D18" s="1">
        <f>SUM(D10:D17)</f>
        <v>1869.0727600000005</v>
      </c>
    </row>
    <row r="19" spans="2:6" x14ac:dyDescent="0.25">
      <c r="B19" s="115"/>
      <c r="C19" s="116"/>
      <c r="D19" s="117"/>
    </row>
    <row r="20" spans="2:6" x14ac:dyDescent="0.25">
      <c r="B20" s="109" t="s">
        <v>41</v>
      </c>
      <c r="C20" s="110"/>
      <c r="D20" s="111"/>
    </row>
    <row r="21" spans="2:6" x14ac:dyDescent="0.25">
      <c r="B21" s="3" t="s">
        <v>42</v>
      </c>
      <c r="C21" s="9">
        <f>ROUND((1/12),5)</f>
        <v>8.3330000000000001E-2</v>
      </c>
      <c r="D21" s="5">
        <f>(D5)*C21</f>
        <v>1052.3637371</v>
      </c>
      <c r="F21" s="52"/>
    </row>
    <row r="22" spans="2:6" x14ac:dyDescent="0.25">
      <c r="B22" s="3" t="s">
        <v>43</v>
      </c>
      <c r="C22" s="9">
        <f>ROUND(((1/12)),5)</f>
        <v>8.3330000000000001E-2</v>
      </c>
      <c r="D22" s="5">
        <f>(D5)*C22</f>
        <v>1052.3637371</v>
      </c>
    </row>
    <row r="23" spans="2:6" x14ac:dyDescent="0.25">
      <c r="B23" s="3" t="s">
        <v>44</v>
      </c>
      <c r="C23" s="54">
        <f>ROUND(((100%/30)*7)/12,5)</f>
        <v>1.9439999999999999E-2</v>
      </c>
      <c r="D23" s="5">
        <f>(D5)*C23</f>
        <v>245.50523280000002</v>
      </c>
    </row>
    <row r="24" spans="2:6" x14ac:dyDescent="0.25">
      <c r="B24" s="3" t="s">
        <v>45</v>
      </c>
      <c r="C24" s="54">
        <f>ROUND((2.664%/12),5)</f>
        <v>2.2200000000000002E-3</v>
      </c>
      <c r="D24" s="5">
        <f>(D5)*C24</f>
        <v>28.036091400000004</v>
      </c>
    </row>
    <row r="25" spans="2:6" x14ac:dyDescent="0.25">
      <c r="B25" s="3" t="s">
        <v>46</v>
      </c>
      <c r="C25" s="54">
        <f>ROUND((((100%/30)*15)/12)*0.01224,5)</f>
        <v>5.1000000000000004E-4</v>
      </c>
      <c r="D25" s="5">
        <f>(D5)*C25</f>
        <v>6.4407237000000013</v>
      </c>
    </row>
    <row r="26" spans="2:6" x14ac:dyDescent="0.25">
      <c r="B26" s="3" t="s">
        <v>47</v>
      </c>
      <c r="C26" s="54">
        <v>4.15E-3</v>
      </c>
      <c r="D26" s="5">
        <f>(D5)*C26</f>
        <v>52.409810500000006</v>
      </c>
    </row>
    <row r="27" spans="2:6" x14ac:dyDescent="0.25">
      <c r="B27" s="3" t="s">
        <v>48</v>
      </c>
      <c r="C27" s="54">
        <f>ROUND(((1/12)*1.416%*(4/12)),5)</f>
        <v>3.8999999999999999E-4</v>
      </c>
      <c r="D27" s="5">
        <f>(D5)*C27</f>
        <v>4.9252593000000005</v>
      </c>
      <c r="E27" s="53"/>
    </row>
    <row r="28" spans="2:6" x14ac:dyDescent="0.25">
      <c r="B28" s="3" t="s">
        <v>49</v>
      </c>
      <c r="C28" s="54">
        <f>ROUND((((100%/30)*5)/12)*1.416%,5)</f>
        <v>2.0000000000000001E-4</v>
      </c>
      <c r="D28" s="5">
        <f>(D5)*C28</f>
        <v>2.5257740000000002</v>
      </c>
      <c r="E28" s="53"/>
    </row>
    <row r="29" spans="2:6" x14ac:dyDescent="0.25">
      <c r="B29" s="7" t="s">
        <v>50</v>
      </c>
      <c r="C29" s="10">
        <f>SUM(C21:C28)</f>
        <v>0.19356999999999999</v>
      </c>
      <c r="D29" s="1">
        <f>SUM(D21:D28)</f>
        <v>2444.5703659000001</v>
      </c>
      <c r="E29" s="53"/>
    </row>
    <row r="30" spans="2:6" x14ac:dyDescent="0.25">
      <c r="B30" s="115"/>
      <c r="C30" s="116"/>
      <c r="D30" s="117"/>
      <c r="E30" s="53"/>
    </row>
    <row r="31" spans="2:6" x14ac:dyDescent="0.25">
      <c r="B31" s="109" t="s">
        <v>51</v>
      </c>
      <c r="C31" s="110"/>
      <c r="D31" s="111"/>
      <c r="E31" s="53"/>
    </row>
    <row r="32" spans="2:6" x14ac:dyDescent="0.25">
      <c r="B32" s="3" t="s">
        <v>52</v>
      </c>
      <c r="C32" s="51">
        <f>ROUND((1/12*5%),5)</f>
        <v>4.1700000000000001E-3</v>
      </c>
      <c r="D32" s="5">
        <f>(D5)*C32</f>
        <v>52.662387900000006</v>
      </c>
      <c r="E32" s="53"/>
    </row>
    <row r="33" spans="2:5" x14ac:dyDescent="0.25">
      <c r="B33" s="3" t="s">
        <v>53</v>
      </c>
      <c r="C33" s="51">
        <f>ROUND(((1/12)*3.4275%),5)</f>
        <v>2.8600000000000001E-3</v>
      </c>
      <c r="D33" s="5">
        <f>(D5)*C33</f>
        <v>36.118568200000006</v>
      </c>
      <c r="E33" s="53"/>
    </row>
    <row r="34" spans="2:5" ht="22.5" x14ac:dyDescent="0.25">
      <c r="B34" s="3" t="s">
        <v>54</v>
      </c>
      <c r="C34" s="11">
        <f>ROUND((40%*8%),5)</f>
        <v>3.2000000000000001E-2</v>
      </c>
      <c r="D34" s="5">
        <f>(D5)*C34</f>
        <v>404.12384000000003</v>
      </c>
      <c r="E34" s="53"/>
    </row>
    <row r="35" spans="2:5" x14ac:dyDescent="0.25">
      <c r="B35" s="3" t="s">
        <v>55</v>
      </c>
      <c r="C35" s="12">
        <f>ROUND((1/3*1/12),5)</f>
        <v>2.7779999999999999E-2</v>
      </c>
      <c r="D35" s="5">
        <f>(D5)*C35</f>
        <v>350.83000859999999</v>
      </c>
      <c r="E35" s="53"/>
    </row>
    <row r="36" spans="2:5" ht="22.5" x14ac:dyDescent="0.25">
      <c r="B36" s="3" t="s">
        <v>56</v>
      </c>
      <c r="C36" s="12">
        <f>ROUND((1/3*C27),5)</f>
        <v>1.2999999999999999E-4</v>
      </c>
      <c r="D36" s="5">
        <f>(D5)*C36</f>
        <v>1.6417530999999999</v>
      </c>
      <c r="E36" s="53"/>
    </row>
    <row r="37" spans="2:5" x14ac:dyDescent="0.25">
      <c r="B37" s="7" t="s">
        <v>57</v>
      </c>
      <c r="C37" s="10">
        <f>SUM(C32:C36)</f>
        <v>6.6940000000000013E-2</v>
      </c>
      <c r="D37" s="1">
        <f>SUM(D32:D36)</f>
        <v>845.3765578</v>
      </c>
      <c r="E37" s="53"/>
    </row>
    <row r="38" spans="2:5" x14ac:dyDescent="0.25">
      <c r="B38" s="115"/>
      <c r="C38" s="116"/>
      <c r="D38" s="117"/>
      <c r="E38" s="53"/>
    </row>
    <row r="39" spans="2:5" x14ac:dyDescent="0.25">
      <c r="B39" s="109" t="s">
        <v>58</v>
      </c>
      <c r="C39" s="110"/>
      <c r="D39" s="111"/>
      <c r="E39" s="53"/>
    </row>
    <row r="40" spans="2:5" x14ac:dyDescent="0.25">
      <c r="B40" s="3" t="s">
        <v>59</v>
      </c>
      <c r="C40" s="4">
        <f>ROUND((C18*C29),5)</f>
        <v>2.8649999999999998E-2</v>
      </c>
      <c r="D40" s="5">
        <f>D5*C40</f>
        <v>361.81712549999997</v>
      </c>
      <c r="E40" s="53"/>
    </row>
    <row r="41" spans="2:5" x14ac:dyDescent="0.25">
      <c r="B41" s="7" t="s">
        <v>60</v>
      </c>
      <c r="C41" s="8">
        <f>SUM(C40)</f>
        <v>2.8649999999999998E-2</v>
      </c>
      <c r="D41" s="1">
        <f>SUM(D40)</f>
        <v>361.81712549999997</v>
      </c>
      <c r="E41" s="53"/>
    </row>
    <row r="42" spans="2:5" x14ac:dyDescent="0.25">
      <c r="B42" s="115"/>
      <c r="C42" s="116"/>
      <c r="D42" s="117"/>
      <c r="E42" s="53"/>
    </row>
    <row r="43" spans="2:5" x14ac:dyDescent="0.25">
      <c r="B43" s="109" t="s">
        <v>61</v>
      </c>
      <c r="C43" s="110"/>
      <c r="D43" s="111"/>
      <c r="E43" s="53"/>
    </row>
    <row r="44" spans="2:5" x14ac:dyDescent="0.25">
      <c r="B44" s="13" t="s">
        <v>62</v>
      </c>
      <c r="C44" s="11">
        <f>ROUND(8%*C32,5)</f>
        <v>3.3E-4</v>
      </c>
      <c r="D44" s="5">
        <f>D5*C44</f>
        <v>4.1675271</v>
      </c>
      <c r="E44" s="53"/>
    </row>
    <row r="45" spans="2:5" ht="33.75" x14ac:dyDescent="0.25">
      <c r="B45" s="13" t="s">
        <v>63</v>
      </c>
      <c r="C45" s="11">
        <f>ROUND(8%*C25,5)</f>
        <v>4.0000000000000003E-5</v>
      </c>
      <c r="D45" s="5">
        <f>D5*C45</f>
        <v>0.50515480000000013</v>
      </c>
      <c r="E45" s="53"/>
    </row>
    <row r="46" spans="2:5" x14ac:dyDescent="0.25">
      <c r="B46" s="3" t="s">
        <v>64</v>
      </c>
      <c r="C46" s="4">
        <f>ROUND(C11*C35,5)</f>
        <v>2.2200000000000002E-3</v>
      </c>
      <c r="D46" s="5">
        <f>D5*C46</f>
        <v>28.036091400000004</v>
      </c>
      <c r="E46" s="53"/>
    </row>
    <row r="47" spans="2:5" x14ac:dyDescent="0.25">
      <c r="B47" s="7" t="s">
        <v>65</v>
      </c>
      <c r="C47" s="14">
        <f>SUM(C44:C46)</f>
        <v>2.5900000000000003E-3</v>
      </c>
      <c r="D47" s="1">
        <f>SUM(D44:D46)</f>
        <v>32.708773300000004</v>
      </c>
      <c r="E47" s="53"/>
    </row>
    <row r="48" spans="2:5" x14ac:dyDescent="0.25">
      <c r="B48" s="115"/>
      <c r="C48" s="116"/>
      <c r="D48" s="117"/>
      <c r="E48" s="53"/>
    </row>
    <row r="49" spans="1:7" x14ac:dyDescent="0.25">
      <c r="B49" s="109" t="s">
        <v>66</v>
      </c>
      <c r="C49" s="110"/>
      <c r="D49" s="111"/>
      <c r="E49" s="53"/>
    </row>
    <row r="50" spans="1:7" ht="33.75" x14ac:dyDescent="0.25">
      <c r="B50" s="15" t="s">
        <v>67</v>
      </c>
      <c r="C50" s="4">
        <f>ROUND((C18*(4/12)*(2/100)),5)</f>
        <v>9.8999999999999999E-4</v>
      </c>
      <c r="D50" s="16">
        <f>D5*C50</f>
        <v>12.502581300000001</v>
      </c>
      <c r="E50" s="53"/>
    </row>
    <row r="51" spans="1:7" x14ac:dyDescent="0.25">
      <c r="B51" s="7" t="s">
        <v>68</v>
      </c>
      <c r="C51" s="17">
        <f>SUM(C50)</f>
        <v>9.8999999999999999E-4</v>
      </c>
      <c r="D51" s="1">
        <f>SUM(D50)</f>
        <v>12.502581300000001</v>
      </c>
      <c r="E51" s="53"/>
    </row>
    <row r="52" spans="1:7" x14ac:dyDescent="0.25">
      <c r="B52" s="18"/>
      <c r="C52" s="19"/>
      <c r="D52" s="20"/>
      <c r="E52" s="53"/>
    </row>
    <row r="53" spans="1:7" x14ac:dyDescent="0.25">
      <c r="B53" s="7" t="s">
        <v>69</v>
      </c>
      <c r="C53" s="17">
        <f>C51+C47+C41+C37+C29+C18</f>
        <v>0.44074000000000002</v>
      </c>
      <c r="D53" s="1">
        <f>D51+D47+D41+D37+D29+D18</f>
        <v>5566.0481638000001</v>
      </c>
      <c r="E53" s="53"/>
    </row>
    <row r="54" spans="1:7" x14ac:dyDescent="0.25">
      <c r="B54" s="18"/>
      <c r="C54" s="19"/>
      <c r="D54" s="20"/>
      <c r="E54" s="53"/>
    </row>
    <row r="55" spans="1:7" x14ac:dyDescent="0.25">
      <c r="B55" s="104" t="s">
        <v>70</v>
      </c>
      <c r="C55" s="105"/>
      <c r="D55" s="1">
        <f>D53+D5</f>
        <v>18194.918163800001</v>
      </c>
      <c r="E55" s="53"/>
    </row>
    <row r="56" spans="1:7" x14ac:dyDescent="0.25">
      <c r="B56" s="15"/>
      <c r="C56" s="21"/>
      <c r="D56" s="22"/>
      <c r="E56" s="53"/>
    </row>
    <row r="57" spans="1:7" x14ac:dyDescent="0.25">
      <c r="B57" s="120" t="s">
        <v>71</v>
      </c>
      <c r="C57" s="121"/>
      <c r="D57" s="122"/>
    </row>
    <row r="58" spans="1:7" x14ac:dyDescent="0.25">
      <c r="B58" s="23" t="s">
        <v>72</v>
      </c>
      <c r="C58" s="24"/>
      <c r="D58" s="55">
        <f>400*(1-50%)</f>
        <v>200</v>
      </c>
    </row>
    <row r="59" spans="1:7" x14ac:dyDescent="0.25">
      <c r="B59" s="25" t="s">
        <v>73</v>
      </c>
      <c r="C59" s="26"/>
      <c r="D59" s="56">
        <v>35</v>
      </c>
    </row>
    <row r="60" spans="1:7" x14ac:dyDescent="0.25">
      <c r="B60" s="25" t="s">
        <v>74</v>
      </c>
      <c r="C60" s="26"/>
      <c r="D60" s="56">
        <f>IF((5.5*2*21)-(D4*6%)&lt;0,0,(5.5*2*21)-(D4*6%))</f>
        <v>0</v>
      </c>
    </row>
    <row r="61" spans="1:7" x14ac:dyDescent="0.25">
      <c r="A61" s="27"/>
      <c r="B61" s="25" t="s">
        <v>75</v>
      </c>
      <c r="C61" s="26"/>
      <c r="D61" s="59">
        <v>800</v>
      </c>
      <c r="G61" s="27"/>
    </row>
    <row r="62" spans="1:7" ht="43.5" customHeight="1" x14ac:dyDescent="0.25">
      <c r="B62" s="28" t="s">
        <v>76</v>
      </c>
      <c r="C62" s="29"/>
      <c r="D62" s="56">
        <f>'Analista de UX (Experiência do '!D62</f>
        <v>135</v>
      </c>
    </row>
    <row r="63" spans="1:7" x14ac:dyDescent="0.25">
      <c r="B63" s="25" t="s">
        <v>77</v>
      </c>
      <c r="C63" s="26"/>
      <c r="D63" s="56">
        <f>'Analista de UX (Experiência do '!D63</f>
        <v>150</v>
      </c>
    </row>
    <row r="64" spans="1:7" x14ac:dyDescent="0.25">
      <c r="B64" s="25" t="s">
        <v>78</v>
      </c>
      <c r="C64" s="61"/>
      <c r="D64" s="56">
        <v>0</v>
      </c>
      <c r="F64" t="s">
        <v>79</v>
      </c>
    </row>
    <row r="65" spans="2:6" x14ac:dyDescent="0.25">
      <c r="B65" s="123" t="s">
        <v>80</v>
      </c>
      <c r="C65" s="124"/>
      <c r="D65" s="30">
        <f>SUM(D58:D64)</f>
        <v>1320</v>
      </c>
    </row>
    <row r="66" spans="2:6" x14ac:dyDescent="0.25">
      <c r="B66" s="115"/>
      <c r="C66" s="116"/>
      <c r="D66" s="117"/>
    </row>
    <row r="67" spans="2:6" x14ac:dyDescent="0.25">
      <c r="B67" s="104" t="s">
        <v>81</v>
      </c>
      <c r="C67" s="105"/>
      <c r="D67" s="1">
        <f>SUM(D55,D65)</f>
        <v>19514.918163800001</v>
      </c>
    </row>
    <row r="68" spans="2:6" x14ac:dyDescent="0.25">
      <c r="B68" s="106"/>
      <c r="C68" s="107"/>
      <c r="D68" s="108"/>
    </row>
    <row r="69" spans="2:6" x14ac:dyDescent="0.25">
      <c r="B69" s="125" t="s">
        <v>82</v>
      </c>
      <c r="C69" s="126"/>
      <c r="D69" s="127"/>
    </row>
    <row r="70" spans="2:6" x14ac:dyDescent="0.25">
      <c r="B70" s="31" t="s">
        <v>83</v>
      </c>
      <c r="C70" s="58">
        <f>'Analista de Requisitos'!C70</f>
        <v>0.05</v>
      </c>
      <c r="D70" s="32">
        <f>C70*D67</f>
        <v>975.74590819000014</v>
      </c>
    </row>
    <row r="71" spans="2:6" x14ac:dyDescent="0.25">
      <c r="B71" s="33" t="s">
        <v>84</v>
      </c>
      <c r="C71" s="58">
        <f>'Analista de Requisitos'!C71</f>
        <v>0.1</v>
      </c>
      <c r="D71" s="32">
        <f>C71*(D67+D70)</f>
        <v>2049.0664071990004</v>
      </c>
    </row>
    <row r="72" spans="2:6" x14ac:dyDescent="0.25">
      <c r="B72" s="7" t="s">
        <v>85</v>
      </c>
      <c r="C72" s="34">
        <f>SUM(C70:C71)</f>
        <v>0.15000000000000002</v>
      </c>
      <c r="D72" s="35">
        <f>D71+D70</f>
        <v>3024.8123153890006</v>
      </c>
    </row>
    <row r="73" spans="2:6" x14ac:dyDescent="0.25">
      <c r="B73" s="115"/>
      <c r="C73" s="116"/>
      <c r="D73" s="117"/>
    </row>
    <row r="74" spans="2:6" x14ac:dyDescent="0.25">
      <c r="B74" s="109" t="s">
        <v>86</v>
      </c>
      <c r="C74" s="110"/>
      <c r="D74" s="111"/>
    </row>
    <row r="75" spans="2:6" x14ac:dyDescent="0.25">
      <c r="B75" s="3" t="s">
        <v>87</v>
      </c>
      <c r="C75" s="57">
        <v>0.02</v>
      </c>
      <c r="D75" s="5">
        <f>(D67+D72)/(1-C79)*C75</f>
        <v>501.71909803425717</v>
      </c>
      <c r="F75" t="s">
        <v>88</v>
      </c>
    </row>
    <row r="76" spans="2:6" x14ac:dyDescent="0.25">
      <c r="B76" s="3" t="s">
        <v>89</v>
      </c>
      <c r="C76" s="36">
        <v>0.03</v>
      </c>
      <c r="D76" s="5">
        <f>(D67+D72)/(1-C79)*C76</f>
        <v>752.5786470513857</v>
      </c>
    </row>
    <row r="77" spans="2:6" x14ac:dyDescent="0.25">
      <c r="B77" s="3" t="s">
        <v>90</v>
      </c>
      <c r="C77" s="36">
        <v>6.4999999999999997E-3</v>
      </c>
      <c r="D77" s="5">
        <f>(D67+D72)/(1-C79)*C77</f>
        <v>163.05870686113357</v>
      </c>
    </row>
    <row r="78" spans="2:6" x14ac:dyDescent="0.25">
      <c r="B78" s="3" t="s">
        <v>91</v>
      </c>
      <c r="C78" s="58">
        <f>'Analista de Requisitos'!C78</f>
        <v>4.4999999999999998E-2</v>
      </c>
      <c r="D78" s="5">
        <f>(D67+D72)/(1-C79)*C78</f>
        <v>1128.8679705770787</v>
      </c>
    </row>
    <row r="79" spans="2:6" x14ac:dyDescent="0.25">
      <c r="B79" s="37" t="s">
        <v>92</v>
      </c>
      <c r="C79" s="38">
        <f>SUM(C75:C78)</f>
        <v>0.10150000000000001</v>
      </c>
      <c r="D79" s="35">
        <f>ROUND(SUM(D75:D78),2)</f>
        <v>2546.2199999999998</v>
      </c>
    </row>
    <row r="80" spans="2:6" x14ac:dyDescent="0.25">
      <c r="B80" s="115"/>
      <c r="C80" s="116"/>
      <c r="D80" s="117"/>
    </row>
    <row r="81" spans="1:6" x14ac:dyDescent="0.25">
      <c r="B81" s="118" t="s">
        <v>93</v>
      </c>
      <c r="C81" s="119"/>
      <c r="D81" s="5">
        <f>ROUND((D67+D72+D79),2)</f>
        <v>25085.95</v>
      </c>
      <c r="E81" s="60"/>
    </row>
    <row r="82" spans="1:6" x14ac:dyDescent="0.25">
      <c r="B82" s="49"/>
      <c r="C82" s="50" t="s">
        <v>94</v>
      </c>
      <c r="D82" s="63">
        <f>D81/D4</f>
        <v>1.9863970410654317</v>
      </c>
      <c r="E82" s="60"/>
    </row>
    <row r="83" spans="1:6" x14ac:dyDescent="0.25">
      <c r="B83" s="118" t="s">
        <v>95</v>
      </c>
      <c r="C83" s="119"/>
      <c r="D83" s="5">
        <f>ROUND(D81*12,2)</f>
        <v>301031.40000000002</v>
      </c>
      <c r="E83" s="53"/>
      <c r="F83" s="52"/>
    </row>
    <row r="84" spans="1:6" ht="22.5" x14ac:dyDescent="0.25">
      <c r="B84" s="39" t="s">
        <v>96</v>
      </c>
      <c r="C84" s="40">
        <v>5</v>
      </c>
      <c r="D84" s="41">
        <f>D83*C84</f>
        <v>1505157</v>
      </c>
      <c r="E84" s="53"/>
    </row>
    <row r="85" spans="1:6" x14ac:dyDescent="0.25">
      <c r="A85" s="52"/>
      <c r="C85" s="52"/>
    </row>
    <row r="86" spans="1:6" x14ac:dyDescent="0.25">
      <c r="A86" s="52"/>
      <c r="C86" s="52"/>
    </row>
    <row r="87" spans="1:6" x14ac:dyDescent="0.25">
      <c r="A87" s="52"/>
      <c r="C87" s="52"/>
    </row>
    <row r="88" spans="1:6" x14ac:dyDescent="0.25">
      <c r="A88" s="52"/>
      <c r="C88" s="52"/>
    </row>
    <row r="89" spans="1:6" x14ac:dyDescent="0.25">
      <c r="A89" s="52"/>
      <c r="C89" s="52"/>
    </row>
    <row r="90" spans="1:6" x14ac:dyDescent="0.25">
      <c r="A90" s="52"/>
      <c r="C90" s="52"/>
    </row>
    <row r="91" spans="1:6" x14ac:dyDescent="0.25">
      <c r="A91" s="52"/>
      <c r="C91" s="52"/>
    </row>
    <row r="92" spans="1:6" x14ac:dyDescent="0.25">
      <c r="A92" s="52"/>
      <c r="C92" s="52"/>
    </row>
    <row r="93" spans="1:6" x14ac:dyDescent="0.25">
      <c r="A93" s="52"/>
      <c r="C93" s="52"/>
    </row>
    <row r="94" spans="1:6" x14ac:dyDescent="0.25">
      <c r="A94" s="52"/>
      <c r="C94" s="52"/>
    </row>
    <row r="95" spans="1:6" x14ac:dyDescent="0.25">
      <c r="A95" s="52"/>
      <c r="C95" s="52"/>
    </row>
    <row r="96" spans="1:6" x14ac:dyDescent="0.25">
      <c r="A96" s="52"/>
      <c r="C96" s="52"/>
    </row>
    <row r="97" spans="1:3" x14ac:dyDescent="0.25">
      <c r="A97" s="52"/>
      <c r="C97" s="52"/>
    </row>
    <row r="98" spans="1:3" x14ac:dyDescent="0.25">
      <c r="A98" s="52"/>
      <c r="C98" s="52"/>
    </row>
    <row r="99" spans="1:3" x14ac:dyDescent="0.25">
      <c r="A99" s="52"/>
      <c r="C99" s="52"/>
    </row>
    <row r="100" spans="1:3" x14ac:dyDescent="0.25">
      <c r="A100" s="52"/>
      <c r="C100" s="52"/>
    </row>
    <row r="101" spans="1:3" x14ac:dyDescent="0.25">
      <c r="A101" s="52"/>
      <c r="C101" s="52"/>
    </row>
    <row r="102" spans="1:3" x14ac:dyDescent="0.25">
      <c r="A102" s="52"/>
      <c r="C102" s="52"/>
    </row>
    <row r="103" spans="1:3" x14ac:dyDescent="0.25">
      <c r="A103" s="52"/>
      <c r="C103" s="52"/>
    </row>
    <row r="104" spans="1:3" x14ac:dyDescent="0.25">
      <c r="A104" s="52"/>
      <c r="C104" s="52"/>
    </row>
    <row r="105" spans="1:3" x14ac:dyDescent="0.25">
      <c r="A105" s="52"/>
      <c r="C105" s="52"/>
    </row>
    <row r="106" spans="1:3" x14ac:dyDescent="0.25">
      <c r="A106" s="52"/>
      <c r="C106" s="52"/>
    </row>
  </sheetData>
  <mergeCells count="30">
    <mergeCell ref="B7:D7"/>
    <mergeCell ref="B2:D2"/>
    <mergeCell ref="B3:D3"/>
    <mergeCell ref="B4:C4"/>
    <mergeCell ref="B5:C5"/>
    <mergeCell ref="B6:D6"/>
    <mergeCell ref="B49:D49"/>
    <mergeCell ref="B8:D8"/>
    <mergeCell ref="B9:D9"/>
    <mergeCell ref="B19:D19"/>
    <mergeCell ref="B20:D20"/>
    <mergeCell ref="B30:D30"/>
    <mergeCell ref="B31:D31"/>
    <mergeCell ref="B38:D38"/>
    <mergeCell ref="B39:D39"/>
    <mergeCell ref="B42:D42"/>
    <mergeCell ref="B43:D43"/>
    <mergeCell ref="B48:D48"/>
    <mergeCell ref="B83:C83"/>
    <mergeCell ref="B55:C55"/>
    <mergeCell ref="B57:D57"/>
    <mergeCell ref="B65:C65"/>
    <mergeCell ref="B66:D66"/>
    <mergeCell ref="B67:C67"/>
    <mergeCell ref="B68:D68"/>
    <mergeCell ref="B69:D69"/>
    <mergeCell ref="B73:D73"/>
    <mergeCell ref="B74:D74"/>
    <mergeCell ref="B80:D80"/>
    <mergeCell ref="B81:C81"/>
  </mergeCells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B9A34BE88024BA960CED27C7654EC" ma:contentTypeVersion="5" ma:contentTypeDescription="Create a new document." ma:contentTypeScope="" ma:versionID="5fb31b256133fdaed6907676ca24b6a4">
  <xsd:schema xmlns:xsd="http://www.w3.org/2001/XMLSchema" xmlns:xs="http://www.w3.org/2001/XMLSchema" xmlns:p="http://schemas.microsoft.com/office/2006/metadata/properties" xmlns:ns2="9e035024-dee4-488c-ae69-99373deee90d" xmlns:ns3="dace3c23-dc35-4a60-9bd2-574dd0c47bf9" targetNamespace="http://schemas.microsoft.com/office/2006/metadata/properties" ma:root="true" ma:fieldsID="e2ad9127688a67af9d6d26f12f38c631" ns2:_="" ns3:_="">
    <xsd:import namespace="9e035024-dee4-488c-ae69-99373deee90d"/>
    <xsd:import namespace="dace3c23-dc35-4a60-9bd2-574dd0c47b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35024-dee4-488c-ae69-99373deee9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e3c23-dc35-4a60-9bd2-574dd0c47bf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AE53B-7846-4C9D-995A-4F32B86E7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36A0D3-5858-4A60-BE34-04FDF9162B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932414-7F22-4281-B869-9E8A40175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35024-dee4-488c-ae69-99373deee90d"/>
    <ds:schemaRef ds:uri="dace3c23-dc35-4a60-9bd2-574dd0c47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</vt:i4>
      </vt:variant>
    </vt:vector>
  </HeadingPairs>
  <TitlesOfParts>
    <vt:vector size="16" baseType="lpstr">
      <vt:lpstr>Totais</vt:lpstr>
      <vt:lpstr>Analista de UX (Experiência do </vt:lpstr>
      <vt:lpstr>Analista de Requisitos</vt:lpstr>
      <vt:lpstr>Analista_Desenvolvedor – Plataf</vt:lpstr>
      <vt:lpstr>DevSecOps</vt:lpstr>
      <vt:lpstr>administrador de banco de dados</vt:lpstr>
      <vt:lpstr>Gerente de Projetos</vt:lpstr>
      <vt:lpstr>Scrum Master </vt:lpstr>
      <vt:lpstr>Analista de Ambiente de QA</vt:lpstr>
      <vt:lpstr>Arquiteto de Software </vt:lpstr>
      <vt:lpstr>Inovação_Experimentação</vt:lpstr>
      <vt:lpstr>Plataforma IA_Cognitivo</vt:lpstr>
      <vt:lpstr>BPM e RPA </vt:lpstr>
      <vt:lpstr>Plataformas-Ambientes, SOA - AP</vt:lpstr>
      <vt:lpstr>Memória de cálculo</vt:lpstr>
      <vt:lpstr>'Memória de cálculo'!Area_de_impressao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Mitchell</dc:creator>
  <cp:keywords/>
  <dc:description/>
  <cp:lastModifiedBy>Carlos Gustavo Vilela Mesquita</cp:lastModifiedBy>
  <cp:revision/>
  <dcterms:created xsi:type="dcterms:W3CDTF">2022-06-07T18:13:44Z</dcterms:created>
  <dcterms:modified xsi:type="dcterms:W3CDTF">2025-04-16T21:41:36Z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0x010100F9DB9A34BE88024BA960CED27C7654EC</vt:lpwstr>
  </property>
</Properties>
</file>